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945" windowHeight="6675" tabRatio="653" firstSheet="0" activeTab="12"/>
  </bookViews>
  <sheets>
    <sheet name="IANUAR 17" sheetId="1" r:id="rId1"/>
    <sheet name="FEBRUAR 17" sheetId="2" r:id="rId2"/>
    <sheet name="MARTIE 17" sheetId="3" r:id="rId3"/>
    <sheet name="APRILIE 17" sheetId="4" r:id="rId4"/>
    <sheet name="MAI 17" sheetId="5" r:id="rId5"/>
    <sheet name="IUNIE 17" sheetId="6" r:id="rId6"/>
    <sheet name="IULIE 17" sheetId="7" r:id="rId7"/>
    <sheet name="AUGUST 17" sheetId="8" r:id="rId8"/>
    <sheet name="SEPTEMBRIE 17" sheetId="9" r:id="rId9"/>
    <sheet name="OCTOMBRIE 17" sheetId="10" r:id="rId10"/>
    <sheet name="NOIEMBRIE 17" sheetId="11" r:id="rId11"/>
    <sheet name="DECEMBRIE 17" sheetId="12" r:id="rId12"/>
    <sheet name="ANUAL" sheetId="13" r:id="rId13"/>
  </sheets>
  <definedNames/>
  <calcPr fullCalcOnLoad="1"/>
</workbook>
</file>

<file path=xl/sharedStrings.xml><?xml version="1.0" encoding="utf-8"?>
<sst xmlns="http://schemas.openxmlformats.org/spreadsheetml/2006/main" count="1133" uniqueCount="89">
  <si>
    <t>d) total (9a to 9c)</t>
  </si>
  <si>
    <t>d</t>
  </si>
  <si>
    <t>TOTAL ALL SERVICES</t>
  </si>
  <si>
    <t>code</t>
  </si>
  <si>
    <t>Contact person:</t>
  </si>
  <si>
    <t>INTERNATIONAL CIVIL AVIATION ORGANIZATION</t>
  </si>
  <si>
    <t>State:</t>
  </si>
  <si>
    <t>AIR TRANSPORT REPORTING FORM</t>
  </si>
  <si>
    <t>5. Freight tonnes carried</t>
  </si>
  <si>
    <t>Moldova</t>
  </si>
  <si>
    <t>Clasified by flight stage</t>
  </si>
  <si>
    <t>International</t>
  </si>
  <si>
    <t>Tel:</t>
  </si>
  <si>
    <t>19. Tonne-kilometres performed</t>
  </si>
  <si>
    <t>8. Passenger load factor</t>
  </si>
  <si>
    <t>11. Weight load factor</t>
  </si>
  <si>
    <t>3. Aircraft hours</t>
  </si>
  <si>
    <t>IANUARIE</t>
  </si>
  <si>
    <t>Organization:</t>
  </si>
  <si>
    <t>+373 22 52 60 09</t>
  </si>
  <si>
    <t>Unit</t>
  </si>
  <si>
    <t>Year:</t>
  </si>
  <si>
    <t>17. Passenger-kilometres performed</t>
  </si>
  <si>
    <t>c</t>
  </si>
  <si>
    <t>number</t>
  </si>
  <si>
    <t>c) mail</t>
  </si>
  <si>
    <t>c) total (19a + 19b)</t>
  </si>
  <si>
    <t>4. Passengers carried</t>
  </si>
  <si>
    <t>(passenger, mail and freight</t>
  </si>
  <si>
    <t>12. Aircraft kilometres</t>
  </si>
  <si>
    <t>+373 22 52 40 45</t>
  </si>
  <si>
    <t>20. Tonne-kilometres available</t>
  </si>
  <si>
    <t>including all-freight)</t>
  </si>
  <si>
    <t>9. Tonne-kilometres performed</t>
  </si>
  <si>
    <t>14. Aircraft hours</t>
  </si>
  <si>
    <t>b) freight and mail</t>
  </si>
  <si>
    <t>Description</t>
  </si>
  <si>
    <t>f</t>
  </si>
  <si>
    <t>.</t>
  </si>
  <si>
    <t>b</t>
  </si>
  <si>
    <t>e-mail:</t>
  </si>
  <si>
    <t>7. Seat-kilometres available</t>
  </si>
  <si>
    <t>ICAO</t>
  </si>
  <si>
    <t>Violina Rosca</t>
  </si>
  <si>
    <t>10. Tonne-kilometres available</t>
  </si>
  <si>
    <t>TRAFFIC - COMMERCIAL AIR CARRIERS</t>
  </si>
  <si>
    <t>Fax:</t>
  </si>
  <si>
    <t>b) freight (incl.express)</t>
  </si>
  <si>
    <t>FORM A</t>
  </si>
  <si>
    <t>1. Aircraft kilometres</t>
  </si>
  <si>
    <t>Remarks (including a description of any unavoidable deviation (s) from reporting instructions):</t>
  </si>
  <si>
    <t>13. Aircraft departures</t>
  </si>
  <si>
    <t>Air Moldova</t>
  </si>
  <si>
    <t>18. Seat-kilometres available</t>
  </si>
  <si>
    <t>a) passenger (incl. baggage)</t>
  </si>
  <si>
    <t>e</t>
  </si>
  <si>
    <t>%</t>
  </si>
  <si>
    <t>a</t>
  </si>
  <si>
    <t>16. Freight tonnes carried</t>
  </si>
  <si>
    <t>2. Aircraft departures</t>
  </si>
  <si>
    <t>Month (s):</t>
  </si>
  <si>
    <t>Tone-km efectuate</t>
  </si>
  <si>
    <t>NON-SCHEDULED REVENUE FLIGHTS</t>
  </si>
  <si>
    <t>ALL-FREIGHT SERVICES ONLY</t>
  </si>
  <si>
    <t>6. Passenger-kilometres performed</t>
  </si>
  <si>
    <t>vrosca@airmoldova.md</t>
  </si>
  <si>
    <t>NON REVENUE FLIGHTS</t>
  </si>
  <si>
    <t>Air carrier:</t>
  </si>
  <si>
    <t>21. Aircraft hours</t>
  </si>
  <si>
    <t>Domestic</t>
  </si>
  <si>
    <t>SCHEDULED REVENUE FLIGHTS</t>
  </si>
  <si>
    <t>15. Passengers carried</t>
  </si>
  <si>
    <t>(included in columns c and d data)</t>
  </si>
  <si>
    <t>FEBRUARIE</t>
  </si>
  <si>
    <t>MARTIE</t>
  </si>
  <si>
    <t>APRILIE</t>
  </si>
  <si>
    <t>Cristina Dulgheru</t>
  </si>
  <si>
    <t>MAI</t>
  </si>
  <si>
    <t>cdulgheru@airmoldova.md</t>
  </si>
  <si>
    <t xml:space="preserve">      DIRECTOR  GENERAL</t>
  </si>
  <si>
    <t>IULIAN  SCORPAN</t>
  </si>
  <si>
    <t>IUNIE</t>
  </si>
  <si>
    <t>AUGUST</t>
  </si>
  <si>
    <t>DECEMBRIE</t>
  </si>
  <si>
    <t>IULIE</t>
  </si>
  <si>
    <t>NOIEMBRIE</t>
  </si>
  <si>
    <t>OCTOMBRIE</t>
  </si>
  <si>
    <t>SEPTEMBRIE</t>
  </si>
  <si>
    <t xml:space="preserve">IANUARIE - DECEMBRIE </t>
  </si>
</sst>
</file>

<file path=xl/styles.xml><?xml version="1.0" encoding="utf-8"?>
<styleSheet xmlns="http://schemas.openxmlformats.org/spreadsheetml/2006/main">
  <numFmts count="19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* _-#,##0&quot;L&quot;;* \-#,##0&quot;L&quot;;* _-&quot;-&quot;&quot;L&quot;;@"/>
    <numFmt numFmtId="165" formatCode="* #,##0;* \-#,##0;* &quot;-&quot;;@"/>
    <numFmt numFmtId="166" formatCode="* _-#,##0.00&quot;L&quot;;* \-#,##0.00&quot;L&quot;;* _-&quot;-&quot;??&quot;L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;[Red]\-#,##0.0"/>
    <numFmt numFmtId="173" formatCode="[$-FC19]d\ mmmm\ yyyy\ &quot;г.&quot;"/>
    <numFmt numFmtId="174" formatCode="#,##0.0_ ;[Red]\-#,##0.0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name val="Tahoma"/>
      <family val="0"/>
    </font>
    <font>
      <sz val="9"/>
      <name val="Times New Roman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 horizontal="centerContinuous"/>
      <protection/>
    </xf>
    <xf numFmtId="0" fontId="4" fillId="0" borderId="10" xfId="0" applyNumberFormat="1" applyFont="1" applyFill="1" applyBorder="1" applyAlignment="1" applyProtection="1">
      <alignment horizontal="centerContinuous"/>
      <protection/>
    </xf>
    <xf numFmtId="0" fontId="0" fillId="0" borderId="10" xfId="0" applyNumberFormat="1" applyFont="1" applyFill="1" applyBorder="1" applyAlignment="1" applyProtection="1">
      <alignment horizontal="centerContinuous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 horizontal="left"/>
      <protection/>
    </xf>
    <xf numFmtId="0" fontId="4" fillId="33" borderId="13" xfId="0" applyNumberFormat="1" applyFont="1" applyFill="1" applyBorder="1" applyAlignment="1" applyProtection="1">
      <alignment horizontal="left"/>
      <protection/>
    </xf>
    <xf numFmtId="0" fontId="4" fillId="33" borderId="12" xfId="0" applyNumberFormat="1" applyFont="1" applyFill="1" applyBorder="1" applyAlignment="1" applyProtection="1">
      <alignment horizontal="center"/>
      <protection/>
    </xf>
    <xf numFmtId="0" fontId="4" fillId="33" borderId="12" xfId="0" applyNumberFormat="1" applyFont="1" applyFill="1" applyBorder="1" applyAlignment="1" applyProtection="1">
      <alignment horizontal="centerContinuous" vertical="center"/>
      <protection/>
    </xf>
    <xf numFmtId="0" fontId="5" fillId="33" borderId="13" xfId="0" applyNumberFormat="1" applyFont="1" applyFill="1" applyBorder="1" applyAlignment="1" applyProtection="1">
      <alignment horizontal="centerContinuous" vertical="center"/>
      <protection/>
    </xf>
    <xf numFmtId="0" fontId="4" fillId="33" borderId="13" xfId="0" applyNumberFormat="1" applyFont="1" applyFill="1" applyBorder="1" applyAlignment="1" applyProtection="1">
      <alignment horizontal="centerContinuous" vertical="center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/>
      <protection/>
    </xf>
    <xf numFmtId="0" fontId="4" fillId="33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NumberFormat="1" applyFont="1" applyFill="1" applyAlignment="1" applyProtection="1">
      <alignment horizontal="centerContinuous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Alignment="1" applyProtection="1">
      <alignment horizontal="centerContinuous"/>
      <protection/>
    </xf>
    <xf numFmtId="0" fontId="5" fillId="33" borderId="0" xfId="0" applyNumberFormat="1" applyFont="1" applyFill="1" applyAlignment="1" applyProtection="1">
      <alignment horizontal="centerContinuous"/>
      <protection/>
    </xf>
    <xf numFmtId="0" fontId="4" fillId="33" borderId="17" xfId="0" applyNumberFormat="1" applyFont="1" applyFill="1" applyBorder="1" applyAlignment="1" applyProtection="1">
      <alignment horizontal="centerContinuous"/>
      <protection/>
    </xf>
    <xf numFmtId="0" fontId="4" fillId="33" borderId="16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Alignment="1" applyProtection="1">
      <alignment horizontal="left"/>
      <protection/>
    </xf>
    <xf numFmtId="0" fontId="4" fillId="33" borderId="16" xfId="0" applyNumberFormat="1" applyFont="1" applyFill="1" applyBorder="1" applyAlignment="1" applyProtection="1">
      <alignment horizontal="centerContinuous" vertical="top"/>
      <protection/>
    </xf>
    <xf numFmtId="0" fontId="4" fillId="33" borderId="0" xfId="0" applyNumberFormat="1" applyFont="1" applyFill="1" applyAlignment="1" applyProtection="1">
      <alignment horizontal="centerContinuous" vertical="top"/>
      <protection/>
    </xf>
    <xf numFmtId="0" fontId="5" fillId="33" borderId="0" xfId="0" applyNumberFormat="1" applyFont="1" applyFill="1" applyAlignment="1" applyProtection="1">
      <alignment horizontal="centerContinuous" vertical="top"/>
      <protection/>
    </xf>
    <xf numFmtId="0" fontId="4" fillId="33" borderId="17" xfId="0" applyNumberFormat="1" applyFont="1" applyFill="1" applyBorder="1" applyAlignment="1" applyProtection="1">
      <alignment horizontal="centerContinuous" vertical="top"/>
      <protection/>
    </xf>
    <xf numFmtId="0" fontId="4" fillId="33" borderId="18" xfId="0" applyNumberFormat="1" applyFont="1" applyFill="1" applyBorder="1" applyAlignment="1" applyProtection="1">
      <alignment horizontal="centerContinuous" vertical="center"/>
      <protection/>
    </xf>
    <xf numFmtId="0" fontId="5" fillId="33" borderId="10" xfId="0" applyNumberFormat="1" applyFont="1" applyFill="1" applyBorder="1" applyAlignment="1" applyProtection="1">
      <alignment horizontal="centerContinuous" vertical="center"/>
      <protection/>
    </xf>
    <xf numFmtId="0" fontId="5" fillId="33" borderId="18" xfId="0" applyNumberFormat="1" applyFont="1" applyFill="1" applyBorder="1" applyAlignment="1" applyProtection="1">
      <alignment horizontal="centerContinuous" vertical="center"/>
      <protection/>
    </xf>
    <xf numFmtId="0" fontId="4" fillId="33" borderId="19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/>
      <protection/>
    </xf>
    <xf numFmtId="0" fontId="4" fillId="33" borderId="16" xfId="0" applyNumberFormat="1" applyFont="1" applyFill="1" applyBorder="1" applyAlignment="1" applyProtection="1">
      <alignment horizontal="center"/>
      <protection/>
    </xf>
    <xf numFmtId="0" fontId="5" fillId="33" borderId="20" xfId="0" applyNumberFormat="1" applyFont="1" applyFill="1" applyBorder="1" applyAlignment="1" applyProtection="1">
      <alignment horizontal="centerContinuous" vertical="center"/>
      <protection/>
    </xf>
    <xf numFmtId="0" fontId="4" fillId="33" borderId="21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0" xfId="0" applyNumberFormat="1" applyFont="1" applyFill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172" fontId="4" fillId="0" borderId="16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Alignment="1" applyProtection="1">
      <alignment horizontal="right"/>
      <protection/>
    </xf>
    <xf numFmtId="38" fontId="4" fillId="0" borderId="0" xfId="0" applyNumberFormat="1" applyFont="1" applyFill="1" applyAlignment="1" applyProtection="1">
      <alignment horizontal="right"/>
      <protection/>
    </xf>
    <xf numFmtId="9" fontId="4" fillId="0" borderId="0" xfId="0" applyNumberFormat="1" applyFont="1" applyFill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/>
      <protection/>
    </xf>
    <xf numFmtId="172" fontId="4" fillId="0" borderId="16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 horizontal="centerContinuous" vertical="top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37" fillId="0" borderId="10" xfId="52" applyNumberForma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 horizontal="centerContinuous"/>
      <protection/>
    </xf>
    <xf numFmtId="0" fontId="4" fillId="0" borderId="10" xfId="0" applyNumberFormat="1" applyFont="1" applyFill="1" applyBorder="1" applyAlignment="1" applyProtection="1">
      <alignment horizontal="centerContinuous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 horizontal="left"/>
      <protection/>
    </xf>
    <xf numFmtId="0" fontId="4" fillId="33" borderId="13" xfId="0" applyNumberFormat="1" applyFont="1" applyFill="1" applyBorder="1" applyAlignment="1" applyProtection="1">
      <alignment horizontal="left"/>
      <protection/>
    </xf>
    <xf numFmtId="0" fontId="4" fillId="33" borderId="12" xfId="0" applyNumberFormat="1" applyFont="1" applyFill="1" applyBorder="1" applyAlignment="1" applyProtection="1">
      <alignment horizontal="center"/>
      <protection/>
    </xf>
    <xf numFmtId="0" fontId="4" fillId="33" borderId="12" xfId="0" applyNumberFormat="1" applyFont="1" applyFill="1" applyBorder="1" applyAlignment="1" applyProtection="1">
      <alignment horizontal="centerContinuous" vertical="center"/>
      <protection/>
    </xf>
    <xf numFmtId="0" fontId="5" fillId="33" borderId="13" xfId="0" applyNumberFormat="1" applyFont="1" applyFill="1" applyBorder="1" applyAlignment="1" applyProtection="1">
      <alignment horizontal="centerContinuous" vertical="center"/>
      <protection/>
    </xf>
    <xf numFmtId="0" fontId="4" fillId="33" borderId="13" xfId="0" applyNumberFormat="1" applyFont="1" applyFill="1" applyBorder="1" applyAlignment="1" applyProtection="1">
      <alignment horizontal="centerContinuous" vertical="center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/>
      <protection/>
    </xf>
    <xf numFmtId="0" fontId="4" fillId="33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NumberFormat="1" applyFont="1" applyFill="1" applyAlignment="1" applyProtection="1">
      <alignment horizontal="centerContinuous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Alignment="1" applyProtection="1">
      <alignment horizontal="centerContinuous"/>
      <protection/>
    </xf>
    <xf numFmtId="0" fontId="5" fillId="33" borderId="0" xfId="0" applyNumberFormat="1" applyFont="1" applyFill="1" applyAlignment="1" applyProtection="1">
      <alignment horizontal="centerContinuous"/>
      <protection/>
    </xf>
    <xf numFmtId="0" fontId="4" fillId="33" borderId="17" xfId="0" applyNumberFormat="1" applyFont="1" applyFill="1" applyBorder="1" applyAlignment="1" applyProtection="1">
      <alignment horizontal="centerContinuous"/>
      <protection/>
    </xf>
    <xf numFmtId="0" fontId="4" fillId="33" borderId="16" xfId="0" applyNumberFormat="1" applyFont="1" applyFill="1" applyBorder="1" applyAlignment="1" applyProtection="1">
      <alignment horizontal="centerContinuous" vertical="top"/>
      <protection/>
    </xf>
    <xf numFmtId="0" fontId="4" fillId="33" borderId="0" xfId="0" applyNumberFormat="1" applyFont="1" applyFill="1" applyAlignment="1" applyProtection="1">
      <alignment horizontal="centerContinuous" vertical="top"/>
      <protection/>
    </xf>
    <xf numFmtId="0" fontId="5" fillId="33" borderId="0" xfId="0" applyNumberFormat="1" applyFont="1" applyFill="1" applyAlignment="1" applyProtection="1">
      <alignment horizontal="centerContinuous" vertical="top"/>
      <protection/>
    </xf>
    <xf numFmtId="0" fontId="4" fillId="33" borderId="17" xfId="0" applyNumberFormat="1" applyFont="1" applyFill="1" applyBorder="1" applyAlignment="1" applyProtection="1">
      <alignment horizontal="centerContinuous" vertical="top"/>
      <protection/>
    </xf>
    <xf numFmtId="0" fontId="4" fillId="33" borderId="16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Alignment="1" applyProtection="1">
      <alignment horizontal="left"/>
      <protection/>
    </xf>
    <xf numFmtId="0" fontId="4" fillId="33" borderId="18" xfId="0" applyNumberFormat="1" applyFont="1" applyFill="1" applyBorder="1" applyAlignment="1" applyProtection="1">
      <alignment horizontal="centerContinuous" vertical="center"/>
      <protection/>
    </xf>
    <xf numFmtId="0" fontId="5" fillId="33" borderId="10" xfId="0" applyNumberFormat="1" applyFont="1" applyFill="1" applyBorder="1" applyAlignment="1" applyProtection="1">
      <alignment horizontal="centerContinuous" vertical="center"/>
      <protection/>
    </xf>
    <xf numFmtId="0" fontId="5" fillId="33" borderId="18" xfId="0" applyNumberFormat="1" applyFont="1" applyFill="1" applyBorder="1" applyAlignment="1" applyProtection="1">
      <alignment horizontal="centerContinuous" vertical="center"/>
      <protection/>
    </xf>
    <xf numFmtId="0" fontId="4" fillId="33" borderId="19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/>
      <protection/>
    </xf>
    <xf numFmtId="0" fontId="4" fillId="33" borderId="16" xfId="0" applyNumberFormat="1" applyFont="1" applyFill="1" applyBorder="1" applyAlignment="1" applyProtection="1">
      <alignment horizontal="center"/>
      <protection/>
    </xf>
    <xf numFmtId="0" fontId="5" fillId="33" borderId="20" xfId="0" applyNumberFormat="1" applyFont="1" applyFill="1" applyBorder="1" applyAlignment="1" applyProtection="1">
      <alignment horizontal="centerContinuous" vertical="center"/>
      <protection/>
    </xf>
    <xf numFmtId="0" fontId="4" fillId="33" borderId="21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0" xfId="0" applyNumberFormat="1" applyFont="1" applyFill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172" fontId="4" fillId="0" borderId="16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Alignment="1" applyProtection="1">
      <alignment horizontal="right"/>
      <protection/>
    </xf>
    <xf numFmtId="38" fontId="4" fillId="0" borderId="0" xfId="0" applyNumberFormat="1" applyFont="1" applyFill="1" applyAlignment="1" applyProtection="1">
      <alignment horizontal="right"/>
      <protection/>
    </xf>
    <xf numFmtId="9" fontId="4" fillId="0" borderId="0" xfId="0" applyNumberFormat="1" applyFont="1" applyFill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/>
      <protection/>
    </xf>
    <xf numFmtId="172" fontId="4" fillId="0" borderId="16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 horizontal="centerContinuous" vertical="top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172" fontId="4" fillId="0" borderId="23" xfId="0" applyNumberFormat="1" applyFont="1" applyFill="1" applyBorder="1" applyAlignment="1" applyProtection="1">
      <alignment horizontal="right"/>
      <protection/>
    </xf>
    <xf numFmtId="172" fontId="4" fillId="0" borderId="16" xfId="0" applyNumberFormat="1" applyFont="1" applyFill="1" applyBorder="1" applyAlignment="1" applyProtection="1">
      <alignment horizontal="right"/>
      <protection/>
    </xf>
    <xf numFmtId="172" fontId="4" fillId="0" borderId="24" xfId="0" applyNumberFormat="1" applyFont="1" applyFill="1" applyBorder="1" applyAlignment="1" applyProtection="1">
      <alignment horizontal="right"/>
      <protection/>
    </xf>
    <xf numFmtId="38" fontId="4" fillId="0" borderId="16" xfId="0" applyNumberFormat="1" applyFont="1" applyFill="1" applyBorder="1" applyAlignment="1" applyProtection="1">
      <alignment horizontal="right"/>
      <protection/>
    </xf>
    <xf numFmtId="9" fontId="4" fillId="0" borderId="16" xfId="0" applyNumberFormat="1" applyFont="1" applyFill="1" applyBorder="1" applyAlignment="1" applyProtection="1">
      <alignment horizontal="right"/>
      <protection/>
    </xf>
    <xf numFmtId="38" fontId="4" fillId="0" borderId="23" xfId="0" applyNumberFormat="1" applyFont="1" applyFill="1" applyBorder="1" applyAlignment="1" applyProtection="1">
      <alignment horizontal="right"/>
      <protection/>
    </xf>
    <xf numFmtId="38" fontId="4" fillId="0" borderId="24" xfId="0" applyNumberFormat="1" applyFont="1" applyFill="1" applyBorder="1" applyAlignment="1" applyProtection="1">
      <alignment horizontal="right"/>
      <protection/>
    </xf>
    <xf numFmtId="172" fontId="4" fillId="0" borderId="23" xfId="0" applyNumberFormat="1" applyFont="1" applyFill="1" applyBorder="1" applyAlignment="1" applyProtection="1">
      <alignment horizontal="right"/>
      <protection/>
    </xf>
    <xf numFmtId="172" fontId="4" fillId="0" borderId="16" xfId="0" applyNumberFormat="1" applyFont="1" applyFill="1" applyBorder="1" applyAlignment="1" applyProtection="1">
      <alignment horizontal="right"/>
      <protection/>
    </xf>
    <xf numFmtId="172" fontId="4" fillId="0" borderId="24" xfId="0" applyNumberFormat="1" applyFont="1" applyFill="1" applyBorder="1" applyAlignment="1" applyProtection="1">
      <alignment horizontal="right"/>
      <protection/>
    </xf>
    <xf numFmtId="38" fontId="4" fillId="0" borderId="16" xfId="0" applyNumberFormat="1" applyFont="1" applyFill="1" applyBorder="1" applyAlignment="1" applyProtection="1">
      <alignment horizontal="right"/>
      <protection/>
    </xf>
    <xf numFmtId="9" fontId="4" fillId="0" borderId="16" xfId="0" applyNumberFormat="1" applyFont="1" applyFill="1" applyBorder="1" applyAlignment="1" applyProtection="1">
      <alignment horizontal="right"/>
      <protection/>
    </xf>
    <xf numFmtId="38" fontId="4" fillId="0" borderId="23" xfId="0" applyNumberFormat="1" applyFont="1" applyFill="1" applyBorder="1" applyAlignment="1" applyProtection="1">
      <alignment horizontal="right"/>
      <protection/>
    </xf>
    <xf numFmtId="38" fontId="4" fillId="0" borderId="24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172" fontId="4" fillId="0" borderId="25" xfId="0" applyNumberFormat="1" applyFont="1" applyFill="1" applyBorder="1" applyAlignment="1" applyProtection="1">
      <alignment horizontal="right"/>
      <protection/>
    </xf>
    <xf numFmtId="38" fontId="4" fillId="0" borderId="0" xfId="0" applyNumberFormat="1" applyFont="1" applyFill="1" applyBorder="1" applyAlignment="1" applyProtection="1">
      <alignment horizontal="right"/>
      <protection/>
    </xf>
    <xf numFmtId="38" fontId="4" fillId="0" borderId="25" xfId="0" applyNumberFormat="1" applyFont="1" applyFill="1" applyBorder="1" applyAlignment="1" applyProtection="1">
      <alignment horizontal="right"/>
      <protection/>
    </xf>
    <xf numFmtId="167" fontId="0" fillId="0" borderId="0" xfId="42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dulgheru@airmoldova.md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showZeros="0" zoomScale="90" zoomScaleNormal="90" zoomScalePageLayoutView="0" workbookViewId="0" topLeftCell="A13">
      <selection activeCell="AB52" sqref="AB52"/>
    </sheetView>
  </sheetViews>
  <sheetFormatPr defaultColWidth="9.140625" defaultRowHeight="12.75"/>
  <cols>
    <col min="1" max="1" width="12.8515625" style="0" customWidth="1"/>
    <col min="2" max="2" width="2.57421875" style="0" customWidth="1"/>
    <col min="3" max="3" width="2.7109375" style="0" customWidth="1"/>
    <col min="4" max="5" width="4.140625" style="0" customWidth="1"/>
    <col min="6" max="6" width="6.57421875" style="0" customWidth="1"/>
    <col min="7" max="7" width="7.140625" style="0" customWidth="1"/>
    <col min="8" max="8" width="6.8515625" style="0" customWidth="1"/>
    <col min="9" max="9" width="3.421875" style="0" customWidth="1"/>
    <col min="10" max="10" width="2.8515625" style="0" customWidth="1"/>
    <col min="11" max="11" width="8.421875" style="0" customWidth="1"/>
    <col min="12" max="12" width="7.28125" style="0" customWidth="1"/>
    <col min="13" max="13" width="4.7109375" style="0" customWidth="1"/>
    <col min="14" max="14" width="1.28515625" style="0" customWidth="1"/>
    <col min="15" max="18" width="3.28125" style="0" customWidth="1"/>
    <col min="19" max="22" width="6.57421875" style="0" customWidth="1"/>
    <col min="23" max="23" width="0.7187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48</v>
      </c>
    </row>
    <row r="2" spans="1:22" ht="14.25" customHeight="1">
      <c r="A2" s="5" t="s">
        <v>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>
      <c r="A3" s="5" t="s">
        <v>7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>
      <c r="A4" s="5" t="s">
        <v>45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7" t="s">
        <v>4</v>
      </c>
      <c r="B9" s="8" t="s">
        <v>43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9</v>
      </c>
      <c r="P9" s="9"/>
      <c r="Q9" s="9"/>
      <c r="R9" s="9"/>
      <c r="S9" s="9"/>
      <c r="T9" s="9"/>
      <c r="U9" s="1"/>
      <c r="V9" s="1"/>
    </row>
    <row r="10" spans="1:22" ht="14.25" customHeight="1">
      <c r="A10" s="7" t="s">
        <v>18</v>
      </c>
      <c r="B10" s="11" t="s">
        <v>52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67</v>
      </c>
      <c r="O10" s="11" t="s">
        <v>52</v>
      </c>
      <c r="P10" s="12"/>
      <c r="Q10" s="12"/>
      <c r="R10" s="12"/>
      <c r="S10" s="12"/>
      <c r="T10" s="12"/>
      <c r="U10" s="1"/>
      <c r="V10" s="1"/>
    </row>
    <row r="11" spans="1:22" ht="14.25" customHeight="1">
      <c r="A11" s="7" t="s">
        <v>12</v>
      </c>
      <c r="B11" s="12" t="s">
        <v>30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>
      <c r="A12" s="7" t="s">
        <v>46</v>
      </c>
      <c r="B12" s="12" t="s">
        <v>19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60</v>
      </c>
      <c r="O12" s="5" t="s">
        <v>17</v>
      </c>
      <c r="P12" s="9"/>
      <c r="Q12" s="9"/>
      <c r="R12" s="9"/>
      <c r="S12" s="9"/>
      <c r="T12" s="9"/>
      <c r="U12" s="1"/>
      <c r="V12" s="1"/>
    </row>
    <row r="13" spans="1:22" ht="14.25" customHeight="1">
      <c r="A13" s="7" t="s">
        <v>40</v>
      </c>
      <c r="B13" s="12" t="s">
        <v>65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21</v>
      </c>
      <c r="O13" s="11">
        <v>2017</v>
      </c>
      <c r="P13" s="12"/>
      <c r="Q13" s="12"/>
      <c r="R13" s="12"/>
      <c r="S13" s="12"/>
      <c r="T13" s="12"/>
      <c r="U13" s="1"/>
      <c r="V13" s="1"/>
    </row>
    <row r="14" spans="1:22" ht="18" customHeight="1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</v>
      </c>
      <c r="M16" s="21"/>
      <c r="N16" s="22"/>
      <c r="O16" s="22"/>
      <c r="P16" s="22"/>
      <c r="Q16" s="22"/>
      <c r="R16" s="22"/>
      <c r="S16" s="20" t="s">
        <v>63</v>
      </c>
      <c r="T16" s="22"/>
      <c r="U16" s="22"/>
      <c r="V16" s="23"/>
    </row>
    <row r="17" spans="1:22" ht="15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28</v>
      </c>
      <c r="M17" s="29"/>
      <c r="N17" s="29"/>
      <c r="O17" s="30"/>
      <c r="P17" s="30"/>
      <c r="Q17" s="29"/>
      <c r="R17" s="29"/>
      <c r="S17" s="28" t="s">
        <v>72</v>
      </c>
      <c r="T17" s="29"/>
      <c r="U17" s="29"/>
      <c r="V17" s="31"/>
    </row>
    <row r="18" spans="1:22" ht="12.75" customHeight="1">
      <c r="A18" s="24" t="s">
        <v>42</v>
      </c>
      <c r="B18" s="25" t="s">
        <v>36</v>
      </c>
      <c r="C18" s="26"/>
      <c r="D18" s="26"/>
      <c r="E18" s="26"/>
      <c r="F18" s="26"/>
      <c r="G18" s="26"/>
      <c r="H18" s="26"/>
      <c r="I18" s="26"/>
      <c r="J18" s="26"/>
      <c r="K18" s="27" t="s">
        <v>20</v>
      </c>
      <c r="L18" s="34" t="s">
        <v>32</v>
      </c>
      <c r="M18" s="35"/>
      <c r="N18" s="35"/>
      <c r="O18" s="36"/>
      <c r="P18" s="36"/>
      <c r="Q18" s="35"/>
      <c r="R18" s="35"/>
      <c r="S18" s="34" t="s">
        <v>38</v>
      </c>
      <c r="T18" s="35"/>
      <c r="U18" s="35"/>
      <c r="V18" s="37"/>
    </row>
    <row r="19" spans="1:22" ht="15" customHeight="1">
      <c r="A19" s="24" t="s">
        <v>3</v>
      </c>
      <c r="B19" s="32"/>
      <c r="C19" s="33"/>
      <c r="D19" s="33"/>
      <c r="E19" s="33"/>
      <c r="F19" s="33"/>
      <c r="G19" s="33"/>
      <c r="H19" s="33"/>
      <c r="I19" s="33"/>
      <c r="J19" s="33"/>
      <c r="K19" s="27"/>
      <c r="L19" s="38" t="s">
        <v>10</v>
      </c>
      <c r="M19" s="39"/>
      <c r="N19" s="39"/>
      <c r="O19" s="40"/>
      <c r="P19" s="39"/>
      <c r="Q19" s="39"/>
      <c r="R19" s="39"/>
      <c r="S19" s="38" t="s">
        <v>10</v>
      </c>
      <c r="T19" s="39"/>
      <c r="U19" s="39"/>
      <c r="V19" s="41"/>
    </row>
    <row r="20" spans="1:22" ht="15" customHeight="1">
      <c r="A20" s="42"/>
      <c r="B20" s="32"/>
      <c r="C20" s="33"/>
      <c r="D20" s="33"/>
      <c r="E20" s="33"/>
      <c r="F20" s="33"/>
      <c r="G20" s="33"/>
      <c r="H20" s="33"/>
      <c r="I20" s="33"/>
      <c r="J20" s="33"/>
      <c r="K20" s="43"/>
      <c r="L20" s="38" t="s">
        <v>11</v>
      </c>
      <c r="M20" s="38"/>
      <c r="N20" s="38"/>
      <c r="O20" s="38" t="s">
        <v>69</v>
      </c>
      <c r="P20" s="38"/>
      <c r="Q20" s="38"/>
      <c r="R20" s="38"/>
      <c r="S20" s="38" t="s">
        <v>11</v>
      </c>
      <c r="T20" s="40"/>
      <c r="U20" s="38" t="s">
        <v>69</v>
      </c>
      <c r="V20" s="44"/>
    </row>
    <row r="21" spans="1:22" ht="12" customHeight="1">
      <c r="A21" s="45"/>
      <c r="B21" s="38" t="s">
        <v>57</v>
      </c>
      <c r="C21" s="48"/>
      <c r="D21" s="48"/>
      <c r="E21" s="48"/>
      <c r="F21" s="48"/>
      <c r="G21" s="48"/>
      <c r="H21" s="48"/>
      <c r="I21" s="48"/>
      <c r="J21" s="48"/>
      <c r="K21" s="50" t="s">
        <v>39</v>
      </c>
      <c r="L21" s="38" t="s">
        <v>23</v>
      </c>
      <c r="M21" s="48"/>
      <c r="N21" s="48"/>
      <c r="O21" s="38" t="s">
        <v>1</v>
      </c>
      <c r="P21" s="48"/>
      <c r="Q21" s="48"/>
      <c r="R21" s="48"/>
      <c r="S21" s="38" t="s">
        <v>55</v>
      </c>
      <c r="T21" s="48"/>
      <c r="U21" s="38" t="s">
        <v>37</v>
      </c>
      <c r="V21" s="41"/>
    </row>
    <row r="22" spans="1:23" ht="21.75" customHeight="1">
      <c r="A22" s="46"/>
      <c r="B22" s="47" t="s">
        <v>70</v>
      </c>
      <c r="C22" s="49"/>
      <c r="D22" s="49"/>
      <c r="E22" s="14"/>
      <c r="F22" s="14"/>
      <c r="G22" s="14"/>
      <c r="H22" s="14"/>
      <c r="I22" s="14"/>
      <c r="J22" s="49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4" ht="14.25" customHeight="1">
      <c r="A23" s="56">
        <v>1010</v>
      </c>
      <c r="B23" s="57" t="s">
        <v>49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159">
        <f>301.5+843.1</f>
        <v>1144.6</v>
      </c>
      <c r="M23" s="159"/>
      <c r="N23" s="60"/>
      <c r="O23" s="159"/>
      <c r="P23" s="172"/>
      <c r="Q23" s="172"/>
      <c r="R23" s="173"/>
      <c r="S23" s="158"/>
      <c r="T23" s="159"/>
      <c r="U23" s="160"/>
      <c r="V23" s="159"/>
      <c r="W23" s="55"/>
      <c r="X23">
        <v>1144.6</v>
      </c>
    </row>
    <row r="24" spans="1:24" ht="13.5" customHeight="1">
      <c r="A24" s="56">
        <v>1020</v>
      </c>
      <c r="B24" s="57" t="s">
        <v>59</v>
      </c>
      <c r="C24" s="1"/>
      <c r="D24" s="1"/>
      <c r="E24" s="1"/>
      <c r="F24" s="1"/>
      <c r="G24" s="1"/>
      <c r="H24" s="1"/>
      <c r="I24" s="1"/>
      <c r="J24" s="1"/>
      <c r="K24" s="58" t="s">
        <v>24</v>
      </c>
      <c r="L24" s="161">
        <f>242+549</f>
        <v>791</v>
      </c>
      <c r="M24" s="161"/>
      <c r="N24" s="61"/>
      <c r="O24" s="161"/>
      <c r="P24" s="174"/>
      <c r="Q24" s="174"/>
      <c r="R24" s="175"/>
      <c r="S24" s="163"/>
      <c r="T24" s="161"/>
      <c r="U24" s="164"/>
      <c r="V24" s="161"/>
      <c r="W24" s="55"/>
      <c r="X24">
        <v>791</v>
      </c>
    </row>
    <row r="25" spans="1:24" ht="13.5" customHeight="1">
      <c r="A25" s="56">
        <v>1030</v>
      </c>
      <c r="B25" s="57" t="s">
        <v>16</v>
      </c>
      <c r="C25" s="1"/>
      <c r="D25" s="1"/>
      <c r="E25" s="1"/>
      <c r="F25" s="1"/>
      <c r="G25" s="1"/>
      <c r="H25" s="1"/>
      <c r="I25" s="1"/>
      <c r="J25" s="1"/>
      <c r="K25" s="58" t="s">
        <v>24</v>
      </c>
      <c r="L25" s="159">
        <f>430.1+1147.4</f>
        <v>1577.5</v>
      </c>
      <c r="M25" s="159"/>
      <c r="N25" s="60"/>
      <c r="O25" s="159"/>
      <c r="P25" s="172"/>
      <c r="Q25" s="172"/>
      <c r="R25" s="173"/>
      <c r="S25" s="158"/>
      <c r="T25" s="159"/>
      <c r="U25" s="160"/>
      <c r="V25" s="159"/>
      <c r="W25" s="55"/>
      <c r="X25">
        <v>1577.5</v>
      </c>
    </row>
    <row r="26" spans="1:24" ht="13.5" customHeight="1">
      <c r="A26" s="56">
        <v>1040</v>
      </c>
      <c r="B26" s="57" t="s">
        <v>27</v>
      </c>
      <c r="C26" s="1"/>
      <c r="D26" s="1"/>
      <c r="E26" s="1"/>
      <c r="F26" s="1"/>
      <c r="G26" s="1"/>
      <c r="H26" s="1"/>
      <c r="I26" s="1"/>
      <c r="J26" s="1"/>
      <c r="K26" s="58" t="s">
        <v>24</v>
      </c>
      <c r="L26" s="161">
        <f>30007+48277</f>
        <v>78284</v>
      </c>
      <c r="M26" s="161"/>
      <c r="N26" s="61"/>
      <c r="O26" s="159"/>
      <c r="P26" s="172"/>
      <c r="Q26" s="172"/>
      <c r="R26" s="173"/>
      <c r="S26" s="158"/>
      <c r="T26" s="159"/>
      <c r="U26" s="160"/>
      <c r="V26" s="159"/>
      <c r="W26" s="55"/>
      <c r="X26">
        <v>78284</v>
      </c>
    </row>
    <row r="27" spans="1:24" ht="13.5" customHeight="1">
      <c r="A27" s="56">
        <v>1050</v>
      </c>
      <c r="B27" s="57" t="s">
        <v>8</v>
      </c>
      <c r="C27" s="1"/>
      <c r="D27" s="1"/>
      <c r="E27" s="1"/>
      <c r="F27" s="1"/>
      <c r="G27" s="1"/>
      <c r="H27" s="1"/>
      <c r="I27" s="1"/>
      <c r="J27" s="1"/>
      <c r="K27" s="58" t="s">
        <v>24</v>
      </c>
      <c r="L27" s="159">
        <f>0.349+16.01+1.5+2.5</f>
        <v>20.359</v>
      </c>
      <c r="M27" s="159"/>
      <c r="N27" s="60"/>
      <c r="O27" s="159"/>
      <c r="P27" s="172"/>
      <c r="Q27" s="172"/>
      <c r="R27" s="173"/>
      <c r="S27" s="158"/>
      <c r="T27" s="159"/>
      <c r="U27" s="160"/>
      <c r="V27" s="159"/>
      <c r="W27" s="55"/>
      <c r="X27">
        <v>20.359</v>
      </c>
    </row>
    <row r="28" spans="1:24" ht="13.5" customHeight="1">
      <c r="A28" s="56">
        <v>1060</v>
      </c>
      <c r="B28" s="57" t="s">
        <v>64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159">
        <f>36752.2+80673.4</f>
        <v>117425.59999999999</v>
      </c>
      <c r="M28" s="159"/>
      <c r="N28" s="60"/>
      <c r="O28" s="159"/>
      <c r="P28" s="172"/>
      <c r="Q28" s="172"/>
      <c r="R28" s="173"/>
      <c r="S28" s="158"/>
      <c r="T28" s="159"/>
      <c r="U28" s="160"/>
      <c r="V28" s="159"/>
      <c r="W28" s="55"/>
      <c r="X28">
        <v>117425.59999999999</v>
      </c>
    </row>
    <row r="29" spans="1:24" ht="13.5" customHeight="1">
      <c r="A29" s="56">
        <v>1070</v>
      </c>
      <c r="B29" s="57" t="s">
        <v>41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159">
        <f>47854.6+109549.5</f>
        <v>157404.1</v>
      </c>
      <c r="M29" s="159"/>
      <c r="N29" s="60"/>
      <c r="O29" s="159"/>
      <c r="P29" s="172"/>
      <c r="Q29" s="172"/>
      <c r="R29" s="173"/>
      <c r="S29" s="158"/>
      <c r="T29" s="159"/>
      <c r="U29" s="160"/>
      <c r="V29" s="159"/>
      <c r="W29" s="55"/>
      <c r="X29">
        <v>157404.1</v>
      </c>
    </row>
    <row r="30" spans="1:23" ht="13.5" customHeight="1">
      <c r="A30" s="56">
        <v>1080</v>
      </c>
      <c r="B30" s="57" t="s">
        <v>14</v>
      </c>
      <c r="C30" s="1"/>
      <c r="D30" s="1"/>
      <c r="E30" s="1"/>
      <c r="F30" s="1"/>
      <c r="G30" s="1"/>
      <c r="H30" s="1"/>
      <c r="I30" s="1"/>
      <c r="J30" s="1"/>
      <c r="K30" s="58" t="s">
        <v>56</v>
      </c>
      <c r="L30" s="162">
        <f>L28/L29</f>
        <v>0.7460136044740893</v>
      </c>
      <c r="M30" s="162"/>
      <c r="N30" s="62"/>
      <c r="O30" s="158"/>
      <c r="P30" s="158"/>
      <c r="Q30" s="158"/>
      <c r="R30" s="159"/>
      <c r="S30" s="158"/>
      <c r="T30" s="159"/>
      <c r="U30" s="160"/>
      <c r="V30" s="159"/>
      <c r="W30" s="55"/>
    </row>
    <row r="31" spans="1:23" ht="13.5" customHeight="1">
      <c r="A31" s="56"/>
      <c r="B31" s="57" t="s">
        <v>33</v>
      </c>
      <c r="C31" s="1"/>
      <c r="D31" s="1"/>
      <c r="E31" s="1"/>
      <c r="F31" s="1"/>
      <c r="G31" s="1"/>
      <c r="H31" s="1"/>
      <c r="I31" s="1"/>
      <c r="J31" s="1"/>
      <c r="K31" s="58"/>
      <c r="L31" s="59"/>
      <c r="M31" s="60"/>
      <c r="N31" s="60"/>
      <c r="O31" s="158"/>
      <c r="P31" s="158"/>
      <c r="Q31" s="158"/>
      <c r="R31" s="159"/>
      <c r="S31" s="158"/>
      <c r="T31" s="159"/>
      <c r="U31" s="160"/>
      <c r="V31" s="159"/>
      <c r="W31" s="55"/>
    </row>
    <row r="32" spans="1:24" ht="13.5" customHeight="1">
      <c r="A32" s="56">
        <v>1091</v>
      </c>
      <c r="B32" s="57"/>
      <c r="C32" s="1" t="s">
        <v>54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159">
        <f>3675.2+8072.4</f>
        <v>11747.599999999999</v>
      </c>
      <c r="M32" s="159"/>
      <c r="N32" s="60"/>
      <c r="O32" s="158"/>
      <c r="P32" s="158"/>
      <c r="Q32" s="158"/>
      <c r="R32" s="159"/>
      <c r="S32" s="158"/>
      <c r="T32" s="159"/>
      <c r="U32" s="160"/>
      <c r="V32" s="159"/>
      <c r="W32" s="55"/>
      <c r="X32">
        <v>11747.599999999999</v>
      </c>
    </row>
    <row r="33" spans="1:24" ht="13.5" customHeight="1">
      <c r="A33" s="56">
        <v>1092</v>
      </c>
      <c r="B33" s="57"/>
      <c r="C33" s="1" t="s">
        <v>47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159">
        <f>0.5+27.3</f>
        <v>27.8</v>
      </c>
      <c r="M33" s="159"/>
      <c r="N33" s="60"/>
      <c r="O33" s="158"/>
      <c r="P33" s="158"/>
      <c r="Q33" s="158"/>
      <c r="R33" s="159"/>
      <c r="S33" s="158"/>
      <c r="T33" s="159"/>
      <c r="U33" s="160"/>
      <c r="V33" s="159"/>
      <c r="W33" s="55"/>
      <c r="X33">
        <v>27.8</v>
      </c>
    </row>
    <row r="34" spans="1:24" ht="13.5" customHeight="1">
      <c r="A34" s="56">
        <v>1093</v>
      </c>
      <c r="B34" s="57"/>
      <c r="C34" s="1" t="s">
        <v>25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159">
        <f>1.7+3.3</f>
        <v>5</v>
      </c>
      <c r="M34" s="159"/>
      <c r="N34" s="60"/>
      <c r="O34" s="158"/>
      <c r="P34" s="158"/>
      <c r="Q34" s="158"/>
      <c r="R34" s="159"/>
      <c r="S34" s="158"/>
      <c r="T34" s="159"/>
      <c r="U34" s="160"/>
      <c r="V34" s="159"/>
      <c r="W34" s="55"/>
      <c r="X34">
        <v>5</v>
      </c>
    </row>
    <row r="35" spans="1:24" ht="13.5" customHeight="1">
      <c r="A35" s="56">
        <v>1094</v>
      </c>
      <c r="B35" s="57"/>
      <c r="C35" s="1" t="s">
        <v>0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159">
        <f>L32+L33+L34</f>
        <v>11780.399999999998</v>
      </c>
      <c r="M35" s="159"/>
      <c r="N35" s="60"/>
      <c r="O35" s="158"/>
      <c r="P35" s="158"/>
      <c r="Q35" s="158"/>
      <c r="R35" s="159"/>
      <c r="S35" s="158"/>
      <c r="T35" s="159"/>
      <c r="U35" s="160"/>
      <c r="V35" s="159"/>
      <c r="W35" s="55"/>
      <c r="X35">
        <v>11780.399999999998</v>
      </c>
    </row>
    <row r="36" spans="1:24" ht="13.5" customHeight="1">
      <c r="A36" s="56">
        <v>1100</v>
      </c>
      <c r="B36" s="57" t="s">
        <v>44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159">
        <f>4947.9+12224.4</f>
        <v>17172.3</v>
      </c>
      <c r="M36" s="159"/>
      <c r="N36" s="60"/>
      <c r="O36" s="158"/>
      <c r="P36" s="158"/>
      <c r="Q36" s="158"/>
      <c r="R36" s="159"/>
      <c r="S36" s="158"/>
      <c r="T36" s="159"/>
      <c r="U36" s="160"/>
      <c r="V36" s="159"/>
      <c r="W36" s="55"/>
      <c r="X36">
        <v>17172.3</v>
      </c>
    </row>
    <row r="37" spans="1:23" ht="13.5" customHeight="1">
      <c r="A37" s="56">
        <v>1110</v>
      </c>
      <c r="B37" s="57" t="s">
        <v>15</v>
      </c>
      <c r="C37" s="1"/>
      <c r="D37" s="1"/>
      <c r="E37" s="1"/>
      <c r="F37" s="1"/>
      <c r="G37" s="1"/>
      <c r="H37" s="1"/>
      <c r="I37" s="1"/>
      <c r="J37" s="1"/>
      <c r="K37" s="58" t="s">
        <v>56</v>
      </c>
      <c r="L37" s="162">
        <f>L35/L36</f>
        <v>0.6860117747768207</v>
      </c>
      <c r="M37" s="162"/>
      <c r="N37" s="62"/>
      <c r="O37" s="158"/>
      <c r="P37" s="158"/>
      <c r="Q37" s="158"/>
      <c r="R37" s="159"/>
      <c r="S37" s="158"/>
      <c r="T37" s="159"/>
      <c r="U37" s="160"/>
      <c r="V37" s="159"/>
      <c r="W37" s="55"/>
    </row>
    <row r="38" spans="1:23" ht="11.25" customHeight="1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59"/>
      <c r="M38" s="60"/>
      <c r="N38" s="60"/>
      <c r="O38" s="158"/>
      <c r="P38" s="158"/>
      <c r="Q38" s="158"/>
      <c r="R38" s="159"/>
      <c r="S38" s="158"/>
      <c r="T38" s="159"/>
      <c r="U38" s="160"/>
      <c r="V38" s="159"/>
      <c r="W38" s="55"/>
    </row>
    <row r="39" spans="1:23" ht="13.5" customHeight="1">
      <c r="A39" s="56"/>
      <c r="B39" s="63" t="s">
        <v>62</v>
      </c>
      <c r="C39" s="1"/>
      <c r="D39" s="1"/>
      <c r="E39" s="1"/>
      <c r="F39" s="1"/>
      <c r="G39" s="1"/>
      <c r="H39" s="1"/>
      <c r="I39" s="1"/>
      <c r="J39" s="1"/>
      <c r="K39" s="58"/>
      <c r="L39" s="64"/>
      <c r="M39" s="65"/>
      <c r="N39" s="65"/>
      <c r="O39" s="64"/>
      <c r="P39" s="65"/>
      <c r="Q39" s="65"/>
      <c r="R39" s="65"/>
      <c r="S39" s="64"/>
      <c r="T39" s="65"/>
      <c r="U39" s="64"/>
      <c r="V39" s="65"/>
      <c r="W39" s="55"/>
    </row>
    <row r="40" spans="1:24" ht="13.5" customHeight="1">
      <c r="A40" s="56">
        <v>2010</v>
      </c>
      <c r="B40" s="57" t="s">
        <v>29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159">
        <f>0+0</f>
        <v>0</v>
      </c>
      <c r="M40" s="159"/>
      <c r="N40" s="60"/>
      <c r="O40" s="158"/>
      <c r="P40" s="158"/>
      <c r="Q40" s="158"/>
      <c r="R40" s="159"/>
      <c r="S40" s="158"/>
      <c r="T40" s="159"/>
      <c r="U40" s="160"/>
      <c r="V40" s="159"/>
      <c r="W40" s="55"/>
      <c r="X40">
        <v>0</v>
      </c>
    </row>
    <row r="41" spans="1:24" ht="13.5" customHeight="1">
      <c r="A41" s="56">
        <v>2020</v>
      </c>
      <c r="B41" s="57" t="s">
        <v>51</v>
      </c>
      <c r="C41" s="1"/>
      <c r="D41" s="66"/>
      <c r="E41" s="1"/>
      <c r="F41" s="1"/>
      <c r="G41" s="1"/>
      <c r="H41" s="1"/>
      <c r="I41" s="1"/>
      <c r="J41" s="1"/>
      <c r="K41" s="58" t="s">
        <v>24</v>
      </c>
      <c r="L41" s="161">
        <f>0+0</f>
        <v>0</v>
      </c>
      <c r="M41" s="161"/>
      <c r="N41" s="60"/>
      <c r="O41" s="158"/>
      <c r="P41" s="158"/>
      <c r="Q41" s="158"/>
      <c r="R41" s="159"/>
      <c r="S41" s="158"/>
      <c r="T41" s="159"/>
      <c r="U41" s="160"/>
      <c r="V41" s="159"/>
      <c r="W41" s="55"/>
      <c r="X41">
        <v>0</v>
      </c>
    </row>
    <row r="42" spans="1:24" ht="13.5" customHeight="1">
      <c r="A42" s="56">
        <v>2030</v>
      </c>
      <c r="B42" s="57" t="s">
        <v>34</v>
      </c>
      <c r="C42" s="1"/>
      <c r="D42" s="1"/>
      <c r="E42" s="1"/>
      <c r="F42" s="1"/>
      <c r="G42" s="1"/>
      <c r="H42" s="1"/>
      <c r="I42" s="1"/>
      <c r="J42" s="1"/>
      <c r="K42" s="58" t="s">
        <v>24</v>
      </c>
      <c r="L42" s="159">
        <f>0+0</f>
        <v>0</v>
      </c>
      <c r="M42" s="159"/>
      <c r="N42" s="60"/>
      <c r="O42" s="158"/>
      <c r="P42" s="158"/>
      <c r="Q42" s="158"/>
      <c r="R42" s="159"/>
      <c r="S42" s="158"/>
      <c r="T42" s="159"/>
      <c r="U42" s="160"/>
      <c r="V42" s="159"/>
      <c r="W42" s="55"/>
      <c r="X42">
        <v>0</v>
      </c>
    </row>
    <row r="43" spans="1:24" ht="13.5" customHeight="1">
      <c r="A43" s="56">
        <v>2040</v>
      </c>
      <c r="B43" s="57" t="s">
        <v>71</v>
      </c>
      <c r="C43" s="1"/>
      <c r="D43" s="1"/>
      <c r="E43" s="1"/>
      <c r="F43" s="1"/>
      <c r="G43" s="1"/>
      <c r="H43" s="1"/>
      <c r="I43" s="1"/>
      <c r="J43" s="1"/>
      <c r="K43" s="58" t="s">
        <v>24</v>
      </c>
      <c r="L43" s="161">
        <f>0+0</f>
        <v>0</v>
      </c>
      <c r="M43" s="161"/>
      <c r="N43" s="61"/>
      <c r="O43" s="158"/>
      <c r="P43" s="158"/>
      <c r="Q43" s="158"/>
      <c r="R43" s="159"/>
      <c r="S43" s="158"/>
      <c r="T43" s="159"/>
      <c r="U43" s="160"/>
      <c r="V43" s="159"/>
      <c r="W43" s="55"/>
      <c r="X43">
        <v>0</v>
      </c>
    </row>
    <row r="44" spans="1:24" ht="13.5" customHeight="1">
      <c r="A44" s="56">
        <v>2050</v>
      </c>
      <c r="B44" s="57" t="s">
        <v>58</v>
      </c>
      <c r="C44" s="1"/>
      <c r="D44" s="66"/>
      <c r="E44" s="1"/>
      <c r="F44" s="1"/>
      <c r="G44" s="1"/>
      <c r="H44" s="1"/>
      <c r="I44" s="1"/>
      <c r="J44" s="1"/>
      <c r="K44" s="58" t="s">
        <v>24</v>
      </c>
      <c r="L44" s="159">
        <f>0+0+0+0</f>
        <v>0</v>
      </c>
      <c r="M44" s="159"/>
      <c r="N44" s="60"/>
      <c r="O44" s="158"/>
      <c r="P44" s="158"/>
      <c r="Q44" s="158"/>
      <c r="R44" s="159"/>
      <c r="S44" s="158"/>
      <c r="T44" s="159"/>
      <c r="U44" s="160"/>
      <c r="V44" s="159"/>
      <c r="W44" s="55"/>
      <c r="X44">
        <v>0</v>
      </c>
    </row>
    <row r="45" spans="1:24" ht="13.5" customHeight="1">
      <c r="A45" s="56">
        <v>2060</v>
      </c>
      <c r="B45" s="57" t="s">
        <v>22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159">
        <f>0+0</f>
        <v>0</v>
      </c>
      <c r="M45" s="159"/>
      <c r="N45" s="60"/>
      <c r="O45" s="158"/>
      <c r="P45" s="158"/>
      <c r="Q45" s="158"/>
      <c r="R45" s="159"/>
      <c r="S45" s="158"/>
      <c r="T45" s="159"/>
      <c r="U45" s="160"/>
      <c r="V45" s="159"/>
      <c r="W45" s="55"/>
      <c r="X45">
        <v>0</v>
      </c>
    </row>
    <row r="46" spans="1:24" ht="13.5" customHeight="1">
      <c r="A46" s="56">
        <v>2070</v>
      </c>
      <c r="B46" s="57" t="s">
        <v>53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159">
        <f>0+0</f>
        <v>0</v>
      </c>
      <c r="M46" s="159"/>
      <c r="N46" s="60"/>
      <c r="O46" s="158"/>
      <c r="P46" s="158"/>
      <c r="Q46" s="158"/>
      <c r="R46" s="159"/>
      <c r="S46" s="158"/>
      <c r="T46" s="159"/>
      <c r="U46" s="160"/>
      <c r="V46" s="159"/>
      <c r="W46" s="55"/>
      <c r="X46">
        <v>0</v>
      </c>
    </row>
    <row r="47" spans="1:23" ht="13.5" customHeight="1">
      <c r="A47" s="56"/>
      <c r="B47" s="57" t="s">
        <v>13</v>
      </c>
      <c r="C47" s="1" t="s">
        <v>61</v>
      </c>
      <c r="D47" s="1"/>
      <c r="E47" s="1"/>
      <c r="F47" s="1"/>
      <c r="G47" s="1"/>
      <c r="H47" s="1"/>
      <c r="I47" s="1"/>
      <c r="J47" s="1"/>
      <c r="K47" s="58"/>
      <c r="L47" s="59"/>
      <c r="M47" s="60"/>
      <c r="N47" s="60"/>
      <c r="O47" s="158"/>
      <c r="P47" s="158"/>
      <c r="Q47" s="158"/>
      <c r="R47" s="159"/>
      <c r="S47" s="158"/>
      <c r="T47" s="159"/>
      <c r="U47" s="160"/>
      <c r="V47" s="159"/>
      <c r="W47" s="55"/>
    </row>
    <row r="48" spans="1:24" ht="13.5" customHeight="1">
      <c r="A48" s="56">
        <v>2091</v>
      </c>
      <c r="B48" s="57"/>
      <c r="C48" s="1" t="s">
        <v>54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159">
        <f>0+0</f>
        <v>0</v>
      </c>
      <c r="M48" s="159"/>
      <c r="N48" s="60"/>
      <c r="O48" s="158"/>
      <c r="P48" s="158"/>
      <c r="Q48" s="158"/>
      <c r="R48" s="159"/>
      <c r="S48" s="158"/>
      <c r="T48" s="159"/>
      <c r="U48" s="160"/>
      <c r="V48" s="159"/>
      <c r="W48" s="55"/>
      <c r="X48">
        <v>0</v>
      </c>
    </row>
    <row r="49" spans="1:24" ht="13.5" customHeight="1">
      <c r="A49" s="56">
        <v>2092</v>
      </c>
      <c r="B49" s="57"/>
      <c r="C49" s="1" t="s">
        <v>35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159">
        <f>0+0+0+0</f>
        <v>0</v>
      </c>
      <c r="M49" s="159"/>
      <c r="N49" s="60"/>
      <c r="O49" s="158"/>
      <c r="P49" s="158"/>
      <c r="Q49" s="158"/>
      <c r="R49" s="159"/>
      <c r="S49" s="158"/>
      <c r="T49" s="159"/>
      <c r="U49" s="160"/>
      <c r="V49" s="159"/>
      <c r="W49" s="55"/>
      <c r="X49">
        <v>0</v>
      </c>
    </row>
    <row r="50" spans="1:24" ht="13.5" customHeight="1">
      <c r="A50" s="56">
        <v>2094</v>
      </c>
      <c r="B50" s="57"/>
      <c r="C50" s="1" t="s">
        <v>26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159">
        <f>L48+L49</f>
        <v>0</v>
      </c>
      <c r="M50" s="159"/>
      <c r="N50" s="60"/>
      <c r="O50" s="158"/>
      <c r="P50" s="158"/>
      <c r="Q50" s="158"/>
      <c r="R50" s="159"/>
      <c r="S50" s="158"/>
      <c r="T50" s="159"/>
      <c r="U50" s="160"/>
      <c r="V50" s="159"/>
      <c r="W50" s="55"/>
      <c r="X50">
        <v>0</v>
      </c>
    </row>
    <row r="51" spans="1:24" ht="13.5" customHeight="1">
      <c r="A51" s="56">
        <v>2100</v>
      </c>
      <c r="B51" s="57" t="s">
        <v>31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159">
        <f>0+0</f>
        <v>0</v>
      </c>
      <c r="M51" s="159"/>
      <c r="N51" s="60"/>
      <c r="O51" s="158"/>
      <c r="P51" s="158"/>
      <c r="Q51" s="158"/>
      <c r="R51" s="159"/>
      <c r="S51" s="158"/>
      <c r="T51" s="159"/>
      <c r="U51" s="160"/>
      <c r="V51" s="159"/>
      <c r="W51" s="55"/>
      <c r="X51">
        <v>0</v>
      </c>
    </row>
    <row r="52" spans="1:23" ht="10.5" customHeight="1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59"/>
      <c r="M52" s="60"/>
      <c r="N52" s="60"/>
      <c r="O52" s="158"/>
      <c r="P52" s="158"/>
      <c r="Q52" s="158"/>
      <c r="R52" s="159"/>
      <c r="S52" s="158"/>
      <c r="T52" s="159"/>
      <c r="U52" s="160"/>
      <c r="V52" s="159"/>
      <c r="W52" s="55"/>
    </row>
    <row r="53" spans="1:23" ht="13.5" customHeight="1">
      <c r="A53" s="56"/>
      <c r="B53" s="63" t="s">
        <v>66</v>
      </c>
      <c r="C53" s="1"/>
      <c r="D53" s="1"/>
      <c r="E53" s="1"/>
      <c r="F53" s="1"/>
      <c r="G53" s="1"/>
      <c r="H53" s="1"/>
      <c r="I53" s="1"/>
      <c r="J53" s="1"/>
      <c r="K53" s="58"/>
      <c r="L53" s="64"/>
      <c r="M53" s="65"/>
      <c r="N53" s="65"/>
      <c r="O53" s="64"/>
      <c r="P53" s="65"/>
      <c r="Q53" s="65"/>
      <c r="R53" s="65"/>
      <c r="S53" s="64"/>
      <c r="T53" s="65"/>
      <c r="U53" s="64"/>
      <c r="V53" s="65"/>
      <c r="W53" s="55"/>
    </row>
    <row r="54" spans="1:23" ht="13.5" customHeight="1">
      <c r="A54" s="56">
        <v>2330</v>
      </c>
      <c r="B54" s="57" t="s">
        <v>68</v>
      </c>
      <c r="C54" s="1"/>
      <c r="D54" s="1"/>
      <c r="E54" s="1"/>
      <c r="F54" s="1"/>
      <c r="G54" s="1"/>
      <c r="H54" s="1"/>
      <c r="I54" s="1"/>
      <c r="J54" s="1"/>
      <c r="K54" s="58" t="s">
        <v>24</v>
      </c>
      <c r="L54" s="159">
        <f>0+3.9</f>
        <v>3.9</v>
      </c>
      <c r="M54" s="159"/>
      <c r="N54" s="60"/>
      <c r="O54" s="158"/>
      <c r="P54" s="158"/>
      <c r="Q54" s="158"/>
      <c r="R54" s="159"/>
      <c r="S54" s="158"/>
      <c r="T54" s="159"/>
      <c r="U54" s="160"/>
      <c r="V54" s="159"/>
      <c r="W54" s="55"/>
    </row>
    <row r="55" spans="1:23" ht="10.5" customHeight="1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72"/>
      <c r="M55" s="2"/>
      <c r="N55" s="69"/>
      <c r="O55" s="68"/>
      <c r="P55" s="2"/>
      <c r="Q55" s="2"/>
      <c r="R55" s="2"/>
      <c r="S55" s="72"/>
      <c r="T55" s="2"/>
      <c r="U55" s="72"/>
      <c r="V55" s="2"/>
      <c r="W55" s="55"/>
    </row>
    <row r="56" spans="1:23" ht="24.75" customHeight="1">
      <c r="A56" s="73" t="s">
        <v>50</v>
      </c>
      <c r="B56" s="75"/>
      <c r="C56" s="77"/>
      <c r="D56" s="77"/>
      <c r="E56" s="78"/>
      <c r="F56" s="78"/>
      <c r="G56" s="78"/>
      <c r="H56" s="78"/>
      <c r="I56" s="78"/>
      <c r="J56" s="78"/>
      <c r="K56" s="79"/>
      <c r="L56" s="79"/>
      <c r="M56" s="79"/>
      <c r="N56" s="78"/>
      <c r="O56" s="78"/>
      <c r="P56" s="71"/>
      <c r="Q56" s="71"/>
      <c r="R56" s="71"/>
      <c r="S56" s="71"/>
      <c r="T56" s="71"/>
      <c r="U56" s="71"/>
      <c r="V56" s="71"/>
      <c r="W56" s="55"/>
    </row>
    <row r="57" spans="1:15" ht="12.75" customHeight="1">
      <c r="A57" s="74"/>
      <c r="B57" s="76"/>
      <c r="C57" s="74"/>
      <c r="D57" s="76"/>
      <c r="E57" s="74"/>
      <c r="F57" s="74"/>
      <c r="G57" s="74"/>
      <c r="H57" s="74"/>
      <c r="I57" s="74"/>
      <c r="J57" s="74"/>
      <c r="K57" s="80"/>
      <c r="L57" s="81"/>
      <c r="M57" s="81"/>
      <c r="N57" s="74"/>
      <c r="O57" s="74"/>
    </row>
  </sheetData>
  <sheetProtection/>
  <mergeCells count="116">
    <mergeCell ref="L23:M23"/>
    <mergeCell ref="O23:R23"/>
    <mergeCell ref="S23:T23"/>
    <mergeCell ref="U23:V23"/>
    <mergeCell ref="L24:M24"/>
    <mergeCell ref="O24:R24"/>
    <mergeCell ref="S24:T24"/>
    <mergeCell ref="U24:V24"/>
    <mergeCell ref="L25:M25"/>
    <mergeCell ref="O25:R25"/>
    <mergeCell ref="S25:T25"/>
    <mergeCell ref="U25:V25"/>
    <mergeCell ref="L26:M26"/>
    <mergeCell ref="O26:R26"/>
    <mergeCell ref="S26:T26"/>
    <mergeCell ref="U26:V26"/>
    <mergeCell ref="L27:M27"/>
    <mergeCell ref="O27:R27"/>
    <mergeCell ref="S27:T27"/>
    <mergeCell ref="U27:V27"/>
    <mergeCell ref="L28:M28"/>
    <mergeCell ref="O28:R28"/>
    <mergeCell ref="S28:T28"/>
    <mergeCell ref="U28:V28"/>
    <mergeCell ref="L29:M29"/>
    <mergeCell ref="O29:R29"/>
    <mergeCell ref="S29:T29"/>
    <mergeCell ref="U29:V29"/>
    <mergeCell ref="L30:M30"/>
    <mergeCell ref="O30:R30"/>
    <mergeCell ref="S30:T30"/>
    <mergeCell ref="U30:V30"/>
    <mergeCell ref="O31:R31"/>
    <mergeCell ref="S31:T31"/>
    <mergeCell ref="U31:V31"/>
    <mergeCell ref="L32:M32"/>
    <mergeCell ref="O32:R32"/>
    <mergeCell ref="S32:T32"/>
    <mergeCell ref="U32:V32"/>
    <mergeCell ref="L33:M33"/>
    <mergeCell ref="O33:R33"/>
    <mergeCell ref="S33:T33"/>
    <mergeCell ref="U33:V33"/>
    <mergeCell ref="L34:M34"/>
    <mergeCell ref="O34:R34"/>
    <mergeCell ref="S34:T34"/>
    <mergeCell ref="U34:V34"/>
    <mergeCell ref="L35:M35"/>
    <mergeCell ref="O35:R35"/>
    <mergeCell ref="S35:T35"/>
    <mergeCell ref="U35:V35"/>
    <mergeCell ref="L36:M36"/>
    <mergeCell ref="O36:R36"/>
    <mergeCell ref="S36:T36"/>
    <mergeCell ref="U36:V36"/>
    <mergeCell ref="L37:M37"/>
    <mergeCell ref="O37:R37"/>
    <mergeCell ref="S37:T37"/>
    <mergeCell ref="U37:V37"/>
    <mergeCell ref="O38:R38"/>
    <mergeCell ref="S38:T38"/>
    <mergeCell ref="U38:V38"/>
    <mergeCell ref="L40:M40"/>
    <mergeCell ref="O40:R40"/>
    <mergeCell ref="S40:T40"/>
    <mergeCell ref="U40:V40"/>
    <mergeCell ref="L41:M41"/>
    <mergeCell ref="O41:R41"/>
    <mergeCell ref="S41:T41"/>
    <mergeCell ref="U41:V41"/>
    <mergeCell ref="L42:M42"/>
    <mergeCell ref="O42:R42"/>
    <mergeCell ref="S42:T42"/>
    <mergeCell ref="U42:V42"/>
    <mergeCell ref="L43:M43"/>
    <mergeCell ref="O43:R43"/>
    <mergeCell ref="S43:T43"/>
    <mergeCell ref="U43:V43"/>
    <mergeCell ref="L44:M44"/>
    <mergeCell ref="O44:R44"/>
    <mergeCell ref="S44:T44"/>
    <mergeCell ref="U44:V44"/>
    <mergeCell ref="L45:M45"/>
    <mergeCell ref="O45:R45"/>
    <mergeCell ref="S45:T45"/>
    <mergeCell ref="U45:V45"/>
    <mergeCell ref="L46:M46"/>
    <mergeCell ref="O46:R46"/>
    <mergeCell ref="S46:T46"/>
    <mergeCell ref="U46:V46"/>
    <mergeCell ref="O47:R47"/>
    <mergeCell ref="S47:T47"/>
    <mergeCell ref="U47:V47"/>
    <mergeCell ref="L48:M48"/>
    <mergeCell ref="O48:R48"/>
    <mergeCell ref="S48:T48"/>
    <mergeCell ref="U48:V48"/>
    <mergeCell ref="L49:M49"/>
    <mergeCell ref="O49:R49"/>
    <mergeCell ref="S49:T49"/>
    <mergeCell ref="U49:V49"/>
    <mergeCell ref="L50:M50"/>
    <mergeCell ref="O50:R50"/>
    <mergeCell ref="S50:T50"/>
    <mergeCell ref="U50:V50"/>
    <mergeCell ref="L51:M51"/>
    <mergeCell ref="O51:R51"/>
    <mergeCell ref="S51:T51"/>
    <mergeCell ref="U51:V51"/>
    <mergeCell ref="O52:R52"/>
    <mergeCell ref="S52:T52"/>
    <mergeCell ref="U52:V52"/>
    <mergeCell ref="L54:M54"/>
    <mergeCell ref="O54:R54"/>
    <mergeCell ref="S54:T54"/>
    <mergeCell ref="U54:V5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showZeros="0" zoomScalePageLayoutView="0" workbookViewId="0" topLeftCell="A15">
      <selection activeCell="Z57" sqref="Z57"/>
    </sheetView>
  </sheetViews>
  <sheetFormatPr defaultColWidth="9.140625" defaultRowHeight="12.75"/>
  <cols>
    <col min="1" max="1" width="12.8515625" style="0" customWidth="1"/>
    <col min="2" max="2" width="2.57421875" style="0" customWidth="1"/>
    <col min="3" max="3" width="2.7109375" style="0" customWidth="1"/>
    <col min="4" max="5" width="4.140625" style="0" customWidth="1"/>
    <col min="6" max="6" width="6.57421875" style="0" customWidth="1"/>
    <col min="7" max="7" width="7.140625" style="0" customWidth="1"/>
    <col min="8" max="8" width="6.8515625" style="0" customWidth="1"/>
    <col min="9" max="9" width="3.421875" style="0" customWidth="1"/>
    <col min="10" max="10" width="2.8515625" style="0" customWidth="1"/>
    <col min="11" max="11" width="8.421875" style="0" customWidth="1"/>
    <col min="12" max="12" width="7.28125" style="0" customWidth="1"/>
    <col min="13" max="13" width="4.7109375" style="0" customWidth="1"/>
    <col min="14" max="14" width="1.28515625" style="0" customWidth="1"/>
    <col min="15" max="18" width="3.28125" style="0" customWidth="1"/>
    <col min="19" max="22" width="6.57421875" style="0" customWidth="1"/>
    <col min="23" max="23" width="0.7187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48</v>
      </c>
    </row>
    <row r="2" spans="1:22" ht="14.25" customHeight="1">
      <c r="A2" s="5" t="s">
        <v>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>
      <c r="A3" s="5" t="s">
        <v>7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>
      <c r="A4" s="5" t="s">
        <v>45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7" t="s">
        <v>4</v>
      </c>
      <c r="B9" s="8" t="s">
        <v>43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9</v>
      </c>
      <c r="P9" s="9"/>
      <c r="Q9" s="9"/>
      <c r="R9" s="9"/>
      <c r="S9" s="9"/>
      <c r="T9" s="9"/>
      <c r="U9" s="1"/>
      <c r="V9" s="1"/>
    </row>
    <row r="10" spans="1:22" ht="14.25" customHeight="1">
      <c r="A10" s="7" t="s">
        <v>18</v>
      </c>
      <c r="B10" s="11" t="s">
        <v>52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67</v>
      </c>
      <c r="O10" s="11" t="s">
        <v>52</v>
      </c>
      <c r="P10" s="12"/>
      <c r="Q10" s="12"/>
      <c r="R10" s="12"/>
      <c r="S10" s="12"/>
      <c r="T10" s="12"/>
      <c r="U10" s="1"/>
      <c r="V10" s="1"/>
    </row>
    <row r="11" spans="1:22" ht="14.25" customHeight="1">
      <c r="A11" s="7" t="s">
        <v>12</v>
      </c>
      <c r="B11" s="12" t="s">
        <v>30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>
      <c r="A12" s="7" t="s">
        <v>46</v>
      </c>
      <c r="B12" s="12" t="s">
        <v>19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60</v>
      </c>
      <c r="O12" s="5" t="s">
        <v>86</v>
      </c>
      <c r="P12" s="9"/>
      <c r="Q12" s="9"/>
      <c r="R12" s="9"/>
      <c r="S12" s="9"/>
      <c r="T12" s="9"/>
      <c r="U12" s="1"/>
      <c r="V12" s="1"/>
    </row>
    <row r="13" spans="1:22" ht="14.25" customHeight="1">
      <c r="A13" s="7" t="s">
        <v>40</v>
      </c>
      <c r="B13" s="12" t="s">
        <v>65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21</v>
      </c>
      <c r="O13" s="11">
        <v>2017</v>
      </c>
      <c r="P13" s="12"/>
      <c r="Q13" s="12"/>
      <c r="R13" s="12"/>
      <c r="S13" s="12"/>
      <c r="T13" s="12"/>
      <c r="U13" s="1"/>
      <c r="V13" s="1"/>
    </row>
    <row r="14" spans="1:22" ht="18" customHeight="1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</v>
      </c>
      <c r="M16" s="21"/>
      <c r="N16" s="22"/>
      <c r="O16" s="22"/>
      <c r="P16" s="22"/>
      <c r="Q16" s="22"/>
      <c r="R16" s="22"/>
      <c r="S16" s="20" t="s">
        <v>63</v>
      </c>
      <c r="T16" s="22"/>
      <c r="U16" s="22"/>
      <c r="V16" s="23"/>
    </row>
    <row r="17" spans="1:22" ht="15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28</v>
      </c>
      <c r="M17" s="29"/>
      <c r="N17" s="29"/>
      <c r="O17" s="30"/>
      <c r="P17" s="30"/>
      <c r="Q17" s="29"/>
      <c r="R17" s="29"/>
      <c r="S17" s="28" t="s">
        <v>72</v>
      </c>
      <c r="T17" s="29"/>
      <c r="U17" s="29"/>
      <c r="V17" s="31"/>
    </row>
    <row r="18" spans="1:22" ht="12.75" customHeight="1">
      <c r="A18" s="24" t="s">
        <v>42</v>
      </c>
      <c r="B18" s="25" t="s">
        <v>36</v>
      </c>
      <c r="C18" s="26"/>
      <c r="D18" s="26"/>
      <c r="E18" s="26"/>
      <c r="F18" s="26"/>
      <c r="G18" s="26"/>
      <c r="H18" s="26"/>
      <c r="I18" s="26"/>
      <c r="J18" s="26"/>
      <c r="K18" s="27" t="s">
        <v>20</v>
      </c>
      <c r="L18" s="34" t="s">
        <v>32</v>
      </c>
      <c r="M18" s="35"/>
      <c r="N18" s="35"/>
      <c r="O18" s="36"/>
      <c r="P18" s="36"/>
      <c r="Q18" s="35"/>
      <c r="R18" s="35"/>
      <c r="S18" s="34" t="s">
        <v>38</v>
      </c>
      <c r="T18" s="35"/>
      <c r="U18" s="35"/>
      <c r="V18" s="37"/>
    </row>
    <row r="19" spans="1:22" ht="15" customHeight="1">
      <c r="A19" s="24" t="s">
        <v>3</v>
      </c>
      <c r="B19" s="32"/>
      <c r="C19" s="33"/>
      <c r="D19" s="33"/>
      <c r="E19" s="33"/>
      <c r="F19" s="33"/>
      <c r="G19" s="33"/>
      <c r="H19" s="33"/>
      <c r="I19" s="33"/>
      <c r="J19" s="33"/>
      <c r="K19" s="27"/>
      <c r="L19" s="38" t="s">
        <v>10</v>
      </c>
      <c r="M19" s="39"/>
      <c r="N19" s="39"/>
      <c r="O19" s="40"/>
      <c r="P19" s="39"/>
      <c r="Q19" s="39"/>
      <c r="R19" s="39"/>
      <c r="S19" s="38" t="s">
        <v>10</v>
      </c>
      <c r="T19" s="39"/>
      <c r="U19" s="39"/>
      <c r="V19" s="41"/>
    </row>
    <row r="20" spans="1:22" ht="15" customHeight="1">
      <c r="A20" s="42"/>
      <c r="B20" s="32"/>
      <c r="C20" s="33"/>
      <c r="D20" s="33"/>
      <c r="E20" s="33"/>
      <c r="F20" s="33"/>
      <c r="G20" s="33"/>
      <c r="H20" s="33"/>
      <c r="I20" s="33"/>
      <c r="J20" s="33"/>
      <c r="K20" s="43"/>
      <c r="L20" s="38" t="s">
        <v>11</v>
      </c>
      <c r="M20" s="38"/>
      <c r="N20" s="38"/>
      <c r="O20" s="38" t="s">
        <v>69</v>
      </c>
      <c r="P20" s="38"/>
      <c r="Q20" s="38"/>
      <c r="R20" s="38"/>
      <c r="S20" s="38" t="s">
        <v>11</v>
      </c>
      <c r="T20" s="40"/>
      <c r="U20" s="38" t="s">
        <v>69</v>
      </c>
      <c r="V20" s="44"/>
    </row>
    <row r="21" spans="1:22" ht="12" customHeight="1">
      <c r="A21" s="45"/>
      <c r="B21" s="38" t="s">
        <v>57</v>
      </c>
      <c r="C21" s="48"/>
      <c r="D21" s="48"/>
      <c r="E21" s="48"/>
      <c r="F21" s="48"/>
      <c r="G21" s="48"/>
      <c r="H21" s="48"/>
      <c r="I21" s="48"/>
      <c r="J21" s="48"/>
      <c r="K21" s="50" t="s">
        <v>39</v>
      </c>
      <c r="L21" s="38" t="s">
        <v>23</v>
      </c>
      <c r="M21" s="48"/>
      <c r="N21" s="48"/>
      <c r="O21" s="38" t="s">
        <v>1</v>
      </c>
      <c r="P21" s="48"/>
      <c r="Q21" s="48"/>
      <c r="R21" s="48"/>
      <c r="S21" s="38" t="s">
        <v>55</v>
      </c>
      <c r="T21" s="48"/>
      <c r="U21" s="38" t="s">
        <v>37</v>
      </c>
      <c r="V21" s="41"/>
    </row>
    <row r="22" spans="1:23" ht="21.75" customHeight="1">
      <c r="A22" s="46"/>
      <c r="B22" s="47" t="s">
        <v>70</v>
      </c>
      <c r="C22" s="49"/>
      <c r="D22" s="49"/>
      <c r="E22" s="14"/>
      <c r="F22" s="14"/>
      <c r="G22" s="14"/>
      <c r="H22" s="14"/>
      <c r="I22" s="14"/>
      <c r="J22" s="49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4" ht="14.25" customHeight="1">
      <c r="A23" s="56">
        <v>1010</v>
      </c>
      <c r="B23" s="57" t="s">
        <v>49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159">
        <f>364.4+890.3</f>
        <v>1254.6999999999998</v>
      </c>
      <c r="M23" s="159"/>
      <c r="N23" s="60"/>
      <c r="O23" s="158"/>
      <c r="P23" s="158"/>
      <c r="Q23" s="158"/>
      <c r="R23" s="159"/>
      <c r="S23" s="158"/>
      <c r="T23" s="159"/>
      <c r="U23" s="160"/>
      <c r="V23" s="159"/>
      <c r="W23" s="55"/>
      <c r="X23">
        <v>1254.6999999999998</v>
      </c>
    </row>
    <row r="24" spans="1:24" ht="13.5" customHeight="1">
      <c r="A24" s="56">
        <v>1020</v>
      </c>
      <c r="B24" s="57" t="s">
        <v>59</v>
      </c>
      <c r="C24" s="1"/>
      <c r="D24" s="1"/>
      <c r="E24" s="1"/>
      <c r="F24" s="1"/>
      <c r="G24" s="1"/>
      <c r="H24" s="1"/>
      <c r="I24" s="1"/>
      <c r="J24" s="1"/>
      <c r="K24" s="58" t="s">
        <v>24</v>
      </c>
      <c r="L24" s="161">
        <f>288+568</f>
        <v>856</v>
      </c>
      <c r="M24" s="161"/>
      <c r="N24" s="61"/>
      <c r="O24" s="163"/>
      <c r="P24" s="163"/>
      <c r="Q24" s="163"/>
      <c r="R24" s="161"/>
      <c r="S24" s="163"/>
      <c r="T24" s="161"/>
      <c r="U24" s="164"/>
      <c r="V24" s="161"/>
      <c r="W24" s="55"/>
      <c r="X24">
        <v>856</v>
      </c>
    </row>
    <row r="25" spans="1:24" ht="13.5" customHeight="1">
      <c r="A25" s="56">
        <v>1030</v>
      </c>
      <c r="B25" s="57" t="s">
        <v>16</v>
      </c>
      <c r="C25" s="1"/>
      <c r="D25" s="1"/>
      <c r="E25" s="1"/>
      <c r="F25" s="1"/>
      <c r="G25" s="1"/>
      <c r="H25" s="1"/>
      <c r="I25" s="1"/>
      <c r="J25" s="1"/>
      <c r="K25" s="58" t="s">
        <v>24</v>
      </c>
      <c r="L25" s="159">
        <f>519.5+1211.5</f>
        <v>1731</v>
      </c>
      <c r="M25" s="159"/>
      <c r="N25" s="60"/>
      <c r="O25" s="158"/>
      <c r="P25" s="158"/>
      <c r="Q25" s="158"/>
      <c r="R25" s="159"/>
      <c r="S25" s="158"/>
      <c r="T25" s="159"/>
      <c r="U25" s="160"/>
      <c r="V25" s="159"/>
      <c r="W25" s="55"/>
      <c r="X25">
        <v>1731</v>
      </c>
    </row>
    <row r="26" spans="1:24" ht="13.5" customHeight="1">
      <c r="A26" s="56">
        <v>1040</v>
      </c>
      <c r="B26" s="57" t="s">
        <v>27</v>
      </c>
      <c r="C26" s="1"/>
      <c r="D26" s="1"/>
      <c r="E26" s="1"/>
      <c r="F26" s="1"/>
      <c r="G26" s="1"/>
      <c r="H26" s="1"/>
      <c r="I26" s="1"/>
      <c r="J26" s="1"/>
      <c r="K26" s="58" t="s">
        <v>24</v>
      </c>
      <c r="L26" s="161">
        <f>36189+48426</f>
        <v>84615</v>
      </c>
      <c r="M26" s="161"/>
      <c r="N26" s="61"/>
      <c r="O26" s="158"/>
      <c r="P26" s="158"/>
      <c r="Q26" s="158"/>
      <c r="R26" s="159"/>
      <c r="S26" s="158"/>
      <c r="T26" s="159"/>
      <c r="U26" s="160"/>
      <c r="V26" s="159"/>
      <c r="W26" s="55"/>
      <c r="X26">
        <v>84615</v>
      </c>
    </row>
    <row r="27" spans="1:24" ht="13.5" customHeight="1">
      <c r="A27" s="56">
        <v>1050</v>
      </c>
      <c r="B27" s="57" t="s">
        <v>8</v>
      </c>
      <c r="C27" s="1"/>
      <c r="D27" s="1"/>
      <c r="E27" s="1"/>
      <c r="F27" s="1"/>
      <c r="G27" s="1"/>
      <c r="H27" s="1"/>
      <c r="I27" s="1"/>
      <c r="J27" s="1"/>
      <c r="K27" s="58" t="s">
        <v>24</v>
      </c>
      <c r="L27" s="159">
        <f>7.38+13.617+1.8+3.7</f>
        <v>26.497</v>
      </c>
      <c r="M27" s="159"/>
      <c r="N27" s="60"/>
      <c r="O27" s="158"/>
      <c r="P27" s="158"/>
      <c r="Q27" s="158"/>
      <c r="R27" s="159"/>
      <c r="S27" s="158"/>
      <c r="T27" s="159"/>
      <c r="U27" s="160"/>
      <c r="V27" s="159"/>
      <c r="W27" s="55"/>
      <c r="X27">
        <v>26.497</v>
      </c>
    </row>
    <row r="28" spans="1:24" ht="13.5" customHeight="1">
      <c r="A28" s="56">
        <v>1060</v>
      </c>
      <c r="B28" s="57" t="s">
        <v>64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159">
        <f>45115+80356.7</f>
        <v>125471.7</v>
      </c>
      <c r="M28" s="159"/>
      <c r="N28" s="60"/>
      <c r="O28" s="158"/>
      <c r="P28" s="158"/>
      <c r="Q28" s="158"/>
      <c r="R28" s="159"/>
      <c r="S28" s="158"/>
      <c r="T28" s="159"/>
      <c r="U28" s="160"/>
      <c r="V28" s="159"/>
      <c r="W28" s="55"/>
      <c r="X28">
        <v>125471.7</v>
      </c>
    </row>
    <row r="29" spans="1:24" ht="13.5" customHeight="1">
      <c r="A29" s="56">
        <v>1070</v>
      </c>
      <c r="B29" s="57" t="s">
        <v>41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159">
        <f>55138.6+109795.9</f>
        <v>164934.5</v>
      </c>
      <c r="M29" s="159"/>
      <c r="N29" s="60"/>
      <c r="O29" s="158"/>
      <c r="P29" s="158"/>
      <c r="Q29" s="158"/>
      <c r="R29" s="159"/>
      <c r="S29" s="158"/>
      <c r="T29" s="159"/>
      <c r="U29" s="160"/>
      <c r="V29" s="159"/>
      <c r="W29" s="55"/>
      <c r="X29">
        <v>164934.5</v>
      </c>
    </row>
    <row r="30" spans="1:23" ht="13.5" customHeight="1">
      <c r="A30" s="56">
        <v>1080</v>
      </c>
      <c r="B30" s="57" t="s">
        <v>14</v>
      </c>
      <c r="C30" s="1"/>
      <c r="D30" s="1"/>
      <c r="E30" s="1"/>
      <c r="F30" s="1"/>
      <c r="G30" s="1"/>
      <c r="H30" s="1"/>
      <c r="I30" s="1"/>
      <c r="J30" s="1"/>
      <c r="K30" s="58" t="s">
        <v>56</v>
      </c>
      <c r="L30" s="162">
        <f>L28/L29</f>
        <v>0.7607365348062413</v>
      </c>
      <c r="M30" s="162"/>
      <c r="N30" s="62"/>
      <c r="O30" s="158"/>
      <c r="P30" s="158"/>
      <c r="Q30" s="158"/>
      <c r="R30" s="159"/>
      <c r="S30" s="158"/>
      <c r="T30" s="159"/>
      <c r="U30" s="160"/>
      <c r="V30" s="159"/>
      <c r="W30" s="55"/>
    </row>
    <row r="31" spans="1:23" ht="13.5" customHeight="1">
      <c r="A31" s="56"/>
      <c r="B31" s="57" t="s">
        <v>33</v>
      </c>
      <c r="C31" s="1"/>
      <c r="D31" s="1"/>
      <c r="E31" s="1"/>
      <c r="F31" s="1"/>
      <c r="G31" s="1"/>
      <c r="H31" s="1"/>
      <c r="I31" s="1"/>
      <c r="J31" s="1"/>
      <c r="K31" s="58"/>
      <c r="L31" s="59"/>
      <c r="M31" s="60"/>
      <c r="N31" s="60"/>
      <c r="O31" s="158"/>
      <c r="P31" s="158"/>
      <c r="Q31" s="158"/>
      <c r="R31" s="159"/>
      <c r="S31" s="158"/>
      <c r="T31" s="159"/>
      <c r="U31" s="160"/>
      <c r="V31" s="159"/>
      <c r="W31" s="55"/>
    </row>
    <row r="32" spans="1:24" ht="13.5" customHeight="1">
      <c r="A32" s="56">
        <v>1091</v>
      </c>
      <c r="B32" s="57"/>
      <c r="C32" s="1" t="s">
        <v>54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159">
        <f>4514.6+8025.4</f>
        <v>12540</v>
      </c>
      <c r="M32" s="159"/>
      <c r="N32" s="60"/>
      <c r="O32" s="158"/>
      <c r="P32" s="158"/>
      <c r="Q32" s="158"/>
      <c r="R32" s="159"/>
      <c r="S32" s="158"/>
      <c r="T32" s="159"/>
      <c r="U32" s="160"/>
      <c r="V32" s="159"/>
      <c r="W32" s="55"/>
      <c r="X32">
        <v>12540</v>
      </c>
    </row>
    <row r="33" spans="1:24" ht="13.5" customHeight="1">
      <c r="A33" s="56">
        <v>1092</v>
      </c>
      <c r="B33" s="57"/>
      <c r="C33" s="1" t="s">
        <v>47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159">
        <f>8.9+23.7</f>
        <v>32.6</v>
      </c>
      <c r="M33" s="159"/>
      <c r="N33" s="60"/>
      <c r="O33" s="158"/>
      <c r="P33" s="158"/>
      <c r="Q33" s="158"/>
      <c r="R33" s="159"/>
      <c r="S33" s="158"/>
      <c r="T33" s="159"/>
      <c r="U33" s="160"/>
      <c r="V33" s="159"/>
      <c r="W33" s="55"/>
      <c r="X33">
        <v>32.6</v>
      </c>
    </row>
    <row r="34" spans="1:24" ht="13.5" customHeight="1">
      <c r="A34" s="56">
        <v>1093</v>
      </c>
      <c r="B34" s="57"/>
      <c r="C34" s="1" t="s">
        <v>25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159">
        <f>2.1+7</f>
        <v>9.1</v>
      </c>
      <c r="M34" s="159"/>
      <c r="N34" s="60"/>
      <c r="O34" s="158"/>
      <c r="P34" s="158"/>
      <c r="Q34" s="158"/>
      <c r="R34" s="159"/>
      <c r="S34" s="158"/>
      <c r="T34" s="159"/>
      <c r="U34" s="160"/>
      <c r="V34" s="159"/>
      <c r="W34" s="55"/>
      <c r="X34">
        <v>9.1</v>
      </c>
    </row>
    <row r="35" spans="1:24" ht="13.5" customHeight="1">
      <c r="A35" s="56">
        <v>1094</v>
      </c>
      <c r="B35" s="57"/>
      <c r="C35" s="1" t="s">
        <v>0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159">
        <f>L32+L33+L34</f>
        <v>12581.7</v>
      </c>
      <c r="M35" s="159"/>
      <c r="N35" s="60"/>
      <c r="O35" s="158"/>
      <c r="P35" s="158"/>
      <c r="Q35" s="158"/>
      <c r="R35" s="159"/>
      <c r="S35" s="158"/>
      <c r="T35" s="159"/>
      <c r="U35" s="160"/>
      <c r="V35" s="159"/>
      <c r="W35" s="55"/>
      <c r="X35">
        <v>12581.7</v>
      </c>
    </row>
    <row r="36" spans="1:24" ht="13.5" customHeight="1">
      <c r="A36" s="56">
        <v>1100</v>
      </c>
      <c r="B36" s="57" t="s">
        <v>44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159">
        <f>5972+12422</f>
        <v>18394</v>
      </c>
      <c r="M36" s="159"/>
      <c r="N36" s="60"/>
      <c r="O36" s="158"/>
      <c r="P36" s="158"/>
      <c r="Q36" s="158"/>
      <c r="R36" s="159"/>
      <c r="S36" s="158"/>
      <c r="T36" s="159"/>
      <c r="U36" s="160"/>
      <c r="V36" s="159"/>
      <c r="W36" s="55"/>
      <c r="X36">
        <v>18394</v>
      </c>
    </row>
    <row r="37" spans="1:23" ht="13.5" customHeight="1">
      <c r="A37" s="56">
        <v>1110</v>
      </c>
      <c r="B37" s="57" t="s">
        <v>15</v>
      </c>
      <c r="C37" s="1"/>
      <c r="D37" s="1"/>
      <c r="E37" s="1"/>
      <c r="F37" s="1"/>
      <c r="G37" s="1"/>
      <c r="H37" s="1"/>
      <c r="I37" s="1"/>
      <c r="J37" s="1"/>
      <c r="K37" s="58" t="s">
        <v>56</v>
      </c>
      <c r="L37" s="162">
        <f>L35/L36</f>
        <v>0.684011090573013</v>
      </c>
      <c r="M37" s="162"/>
      <c r="N37" s="62"/>
      <c r="O37" s="158"/>
      <c r="P37" s="158"/>
      <c r="Q37" s="158"/>
      <c r="R37" s="159"/>
      <c r="S37" s="158"/>
      <c r="T37" s="159"/>
      <c r="U37" s="160"/>
      <c r="V37" s="159"/>
      <c r="W37" s="55"/>
    </row>
    <row r="38" spans="1:23" ht="11.25" customHeight="1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59"/>
      <c r="M38" s="60"/>
      <c r="N38" s="60"/>
      <c r="O38" s="158"/>
      <c r="P38" s="158"/>
      <c r="Q38" s="158"/>
      <c r="R38" s="159"/>
      <c r="S38" s="158"/>
      <c r="T38" s="159"/>
      <c r="U38" s="160"/>
      <c r="V38" s="159"/>
      <c r="W38" s="55"/>
    </row>
    <row r="39" spans="1:23" ht="13.5" customHeight="1">
      <c r="A39" s="56"/>
      <c r="B39" s="63" t="s">
        <v>62</v>
      </c>
      <c r="C39" s="1"/>
      <c r="D39" s="1"/>
      <c r="E39" s="1"/>
      <c r="F39" s="1"/>
      <c r="G39" s="1"/>
      <c r="H39" s="1"/>
      <c r="I39" s="1"/>
      <c r="J39" s="1"/>
      <c r="K39" s="58"/>
      <c r="L39" s="64"/>
      <c r="M39" s="65"/>
      <c r="N39" s="65"/>
      <c r="O39" s="64"/>
      <c r="P39" s="65"/>
      <c r="Q39" s="65"/>
      <c r="R39" s="65"/>
      <c r="S39" s="64"/>
      <c r="T39" s="65"/>
      <c r="U39" s="64"/>
      <c r="V39" s="65"/>
      <c r="W39" s="55"/>
    </row>
    <row r="40" spans="1:24" ht="13.5" customHeight="1">
      <c r="A40" s="56">
        <v>2010</v>
      </c>
      <c r="B40" s="57" t="s">
        <v>29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159">
        <f>2+32.4</f>
        <v>34.4</v>
      </c>
      <c r="M40" s="159"/>
      <c r="N40" s="60"/>
      <c r="O40" s="158"/>
      <c r="P40" s="158"/>
      <c r="Q40" s="158"/>
      <c r="R40" s="159"/>
      <c r="S40" s="158"/>
      <c r="T40" s="159"/>
      <c r="U40" s="160"/>
      <c r="V40" s="159"/>
      <c r="W40" s="55"/>
      <c r="X40">
        <v>34.4</v>
      </c>
    </row>
    <row r="41" spans="1:24" ht="13.5" customHeight="1">
      <c r="A41" s="56">
        <v>2020</v>
      </c>
      <c r="B41" s="57" t="s">
        <v>51</v>
      </c>
      <c r="C41" s="1"/>
      <c r="D41" s="66"/>
      <c r="E41" s="1"/>
      <c r="F41" s="1"/>
      <c r="G41" s="1"/>
      <c r="H41" s="1"/>
      <c r="I41" s="1"/>
      <c r="J41" s="1"/>
      <c r="K41" s="58" t="s">
        <v>24</v>
      </c>
      <c r="L41" s="161">
        <f>2+22</f>
        <v>24</v>
      </c>
      <c r="M41" s="161"/>
      <c r="N41" s="60"/>
      <c r="O41" s="158"/>
      <c r="P41" s="158"/>
      <c r="Q41" s="158"/>
      <c r="R41" s="159"/>
      <c r="S41" s="158"/>
      <c r="T41" s="159"/>
      <c r="U41" s="160"/>
      <c r="V41" s="159"/>
      <c r="W41" s="55"/>
      <c r="X41">
        <v>24</v>
      </c>
    </row>
    <row r="42" spans="1:24" ht="13.5" customHeight="1">
      <c r="A42" s="56">
        <v>2030</v>
      </c>
      <c r="B42" s="57" t="s">
        <v>34</v>
      </c>
      <c r="C42" s="1"/>
      <c r="D42" s="1"/>
      <c r="E42" s="1"/>
      <c r="F42" s="1"/>
      <c r="G42" s="1"/>
      <c r="H42" s="1"/>
      <c r="I42" s="1"/>
      <c r="J42" s="1"/>
      <c r="K42" s="58" t="s">
        <v>24</v>
      </c>
      <c r="L42" s="159">
        <f>3.4+43.7</f>
        <v>47.1</v>
      </c>
      <c r="M42" s="159"/>
      <c r="N42" s="60"/>
      <c r="O42" s="158"/>
      <c r="P42" s="158"/>
      <c r="Q42" s="158"/>
      <c r="R42" s="159"/>
      <c r="S42" s="158"/>
      <c r="T42" s="159"/>
      <c r="U42" s="160"/>
      <c r="V42" s="159"/>
      <c r="W42" s="55"/>
      <c r="X42">
        <v>47.1</v>
      </c>
    </row>
    <row r="43" spans="1:24" ht="13.5" customHeight="1">
      <c r="A43" s="56">
        <v>2040</v>
      </c>
      <c r="B43" s="57" t="s">
        <v>71</v>
      </c>
      <c r="C43" s="1"/>
      <c r="D43" s="1"/>
      <c r="E43" s="1"/>
      <c r="F43" s="1"/>
      <c r="G43" s="1"/>
      <c r="H43" s="1"/>
      <c r="I43" s="1"/>
      <c r="J43" s="1"/>
      <c r="K43" s="58" t="s">
        <v>24</v>
      </c>
      <c r="L43" s="161">
        <f>204+3046</f>
        <v>3250</v>
      </c>
      <c r="M43" s="161"/>
      <c r="N43" s="61"/>
      <c r="O43" s="158"/>
      <c r="P43" s="158"/>
      <c r="Q43" s="158"/>
      <c r="R43" s="159"/>
      <c r="S43" s="158"/>
      <c r="T43" s="159"/>
      <c r="U43" s="160"/>
      <c r="V43" s="159"/>
      <c r="W43" s="55"/>
      <c r="X43">
        <v>3250</v>
      </c>
    </row>
    <row r="44" spans="1:24" ht="13.5" customHeight="1">
      <c r="A44" s="56">
        <v>2050</v>
      </c>
      <c r="B44" s="57" t="s">
        <v>58</v>
      </c>
      <c r="C44" s="1"/>
      <c r="D44" s="66"/>
      <c r="E44" s="1"/>
      <c r="F44" s="1"/>
      <c r="G44" s="1"/>
      <c r="H44" s="1"/>
      <c r="I44" s="1"/>
      <c r="J44" s="1"/>
      <c r="K44" s="58" t="s">
        <v>24</v>
      </c>
      <c r="L44" s="159">
        <f>0+0+0+0</f>
        <v>0</v>
      </c>
      <c r="M44" s="159"/>
      <c r="N44" s="60"/>
      <c r="O44" s="158"/>
      <c r="P44" s="158"/>
      <c r="Q44" s="158"/>
      <c r="R44" s="159"/>
      <c r="S44" s="158"/>
      <c r="T44" s="159"/>
      <c r="U44" s="160"/>
      <c r="V44" s="159"/>
      <c r="W44" s="55"/>
      <c r="X44">
        <v>0</v>
      </c>
    </row>
    <row r="45" spans="1:24" ht="13.5" customHeight="1">
      <c r="A45" s="56">
        <v>2060</v>
      </c>
      <c r="B45" s="57" t="s">
        <v>22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159">
        <f>199.6+4719.2</f>
        <v>4918.8</v>
      </c>
      <c r="M45" s="159"/>
      <c r="N45" s="60"/>
      <c r="O45" s="158"/>
      <c r="P45" s="158"/>
      <c r="Q45" s="158"/>
      <c r="R45" s="159"/>
      <c r="S45" s="158"/>
      <c r="T45" s="159"/>
      <c r="U45" s="160"/>
      <c r="V45" s="159"/>
      <c r="W45" s="55"/>
      <c r="X45">
        <v>4918.8</v>
      </c>
    </row>
    <row r="46" spans="1:24" ht="13.5" customHeight="1">
      <c r="A46" s="56">
        <v>2070</v>
      </c>
      <c r="B46" s="57" t="s">
        <v>53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159">
        <f>207.5+5436.9</f>
        <v>5644.4</v>
      </c>
      <c r="M46" s="159"/>
      <c r="N46" s="60"/>
      <c r="O46" s="158"/>
      <c r="P46" s="158"/>
      <c r="Q46" s="158"/>
      <c r="R46" s="159"/>
      <c r="S46" s="158"/>
      <c r="T46" s="159"/>
      <c r="U46" s="160"/>
      <c r="V46" s="159"/>
      <c r="W46" s="55"/>
      <c r="X46">
        <v>5644.4</v>
      </c>
    </row>
    <row r="47" spans="1:23" ht="13.5" customHeight="1">
      <c r="A47" s="56"/>
      <c r="B47" s="57" t="s">
        <v>13</v>
      </c>
      <c r="C47" s="1" t="s">
        <v>61</v>
      </c>
      <c r="D47" s="1"/>
      <c r="E47" s="1"/>
      <c r="F47" s="1"/>
      <c r="G47" s="1"/>
      <c r="H47" s="1"/>
      <c r="I47" s="1"/>
      <c r="J47" s="1"/>
      <c r="K47" s="58"/>
      <c r="L47" s="59"/>
      <c r="M47" s="60"/>
      <c r="N47" s="60"/>
      <c r="O47" s="158"/>
      <c r="P47" s="158"/>
      <c r="Q47" s="158"/>
      <c r="R47" s="159"/>
      <c r="S47" s="158"/>
      <c r="T47" s="159"/>
      <c r="U47" s="160"/>
      <c r="V47" s="159"/>
      <c r="W47" s="55"/>
    </row>
    <row r="48" spans="1:24" ht="13.5" customHeight="1">
      <c r="A48" s="56">
        <v>2091</v>
      </c>
      <c r="B48" s="57"/>
      <c r="C48" s="1" t="s">
        <v>54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159">
        <f>20+471.9</f>
        <v>491.9</v>
      </c>
      <c r="M48" s="159"/>
      <c r="N48" s="60"/>
      <c r="O48" s="158"/>
      <c r="P48" s="158"/>
      <c r="Q48" s="158"/>
      <c r="R48" s="159"/>
      <c r="S48" s="158"/>
      <c r="T48" s="159"/>
      <c r="U48" s="160"/>
      <c r="V48" s="159"/>
      <c r="W48" s="55"/>
      <c r="X48">
        <v>491.9</v>
      </c>
    </row>
    <row r="49" spans="1:24" ht="13.5" customHeight="1">
      <c r="A49" s="56">
        <v>2092</v>
      </c>
      <c r="B49" s="57"/>
      <c r="C49" s="1" t="s">
        <v>35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159">
        <f>0+0+0+0</f>
        <v>0</v>
      </c>
      <c r="M49" s="159"/>
      <c r="N49" s="60"/>
      <c r="O49" s="158"/>
      <c r="P49" s="158"/>
      <c r="Q49" s="158"/>
      <c r="R49" s="159"/>
      <c r="S49" s="158"/>
      <c r="T49" s="159"/>
      <c r="U49" s="160"/>
      <c r="V49" s="159"/>
      <c r="W49" s="55"/>
      <c r="X49">
        <v>0</v>
      </c>
    </row>
    <row r="50" spans="1:24" ht="13.5" customHeight="1">
      <c r="A50" s="56">
        <v>2094</v>
      </c>
      <c r="B50" s="57"/>
      <c r="C50" s="1" t="s">
        <v>26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159">
        <f>L48+L49</f>
        <v>491.9</v>
      </c>
      <c r="M50" s="159"/>
      <c r="N50" s="60"/>
      <c r="O50" s="158"/>
      <c r="P50" s="158"/>
      <c r="Q50" s="158"/>
      <c r="R50" s="159"/>
      <c r="S50" s="158"/>
      <c r="T50" s="159"/>
      <c r="U50" s="160"/>
      <c r="V50" s="159"/>
      <c r="W50" s="55"/>
      <c r="X50">
        <v>491.9</v>
      </c>
    </row>
    <row r="51" spans="1:24" ht="13.5" customHeight="1">
      <c r="A51" s="56">
        <v>2100</v>
      </c>
      <c r="B51" s="57" t="s">
        <v>31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159">
        <f>23.5+572.4</f>
        <v>595.9</v>
      </c>
      <c r="M51" s="159"/>
      <c r="N51" s="60"/>
      <c r="O51" s="158"/>
      <c r="P51" s="158"/>
      <c r="Q51" s="158"/>
      <c r="R51" s="159"/>
      <c r="S51" s="158"/>
      <c r="T51" s="159"/>
      <c r="U51" s="160"/>
      <c r="V51" s="159"/>
      <c r="W51" s="55"/>
      <c r="X51">
        <v>595.9</v>
      </c>
    </row>
    <row r="52" spans="1:23" ht="10.5" customHeight="1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59"/>
      <c r="M52" s="60"/>
      <c r="N52" s="60"/>
      <c r="O52" s="158"/>
      <c r="P52" s="158"/>
      <c r="Q52" s="158"/>
      <c r="R52" s="159"/>
      <c r="S52" s="158"/>
      <c r="T52" s="159"/>
      <c r="U52" s="160"/>
      <c r="V52" s="159"/>
      <c r="W52" s="55"/>
    </row>
    <row r="53" spans="1:23" ht="13.5" customHeight="1">
      <c r="A53" s="56"/>
      <c r="B53" s="63" t="s">
        <v>66</v>
      </c>
      <c r="C53" s="1"/>
      <c r="D53" s="1"/>
      <c r="E53" s="1"/>
      <c r="F53" s="1"/>
      <c r="G53" s="1"/>
      <c r="H53" s="1"/>
      <c r="I53" s="1"/>
      <c r="J53" s="1"/>
      <c r="K53" s="58"/>
      <c r="L53" s="64"/>
      <c r="M53" s="65"/>
      <c r="N53" s="65"/>
      <c r="O53" s="64"/>
      <c r="P53" s="65"/>
      <c r="Q53" s="65"/>
      <c r="R53" s="65"/>
      <c r="S53" s="64"/>
      <c r="T53" s="65"/>
      <c r="U53" s="64"/>
      <c r="V53" s="65"/>
      <c r="W53" s="55"/>
    </row>
    <row r="54" spans="1:23" ht="13.5" customHeight="1">
      <c r="A54" s="56">
        <v>2330</v>
      </c>
      <c r="B54" s="57" t="s">
        <v>68</v>
      </c>
      <c r="C54" s="1"/>
      <c r="D54" s="1"/>
      <c r="E54" s="1"/>
      <c r="F54" s="1"/>
      <c r="G54" s="1"/>
      <c r="H54" s="1"/>
      <c r="I54" s="1"/>
      <c r="J54" s="1"/>
      <c r="K54" s="58" t="s">
        <v>24</v>
      </c>
      <c r="L54" s="159">
        <f>3.2+5.4</f>
        <v>8.600000000000001</v>
      </c>
      <c r="M54" s="159"/>
      <c r="N54" s="60"/>
      <c r="O54" s="158">
        <v>0.9</v>
      </c>
      <c r="P54" s="158"/>
      <c r="Q54" s="158"/>
      <c r="R54" s="159"/>
      <c r="S54" s="158"/>
      <c r="T54" s="159"/>
      <c r="U54" s="160"/>
      <c r="V54" s="159"/>
      <c r="W54" s="55"/>
    </row>
    <row r="55" spans="1:23" ht="10.5" customHeight="1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72"/>
      <c r="M55" s="2"/>
      <c r="N55" s="69"/>
      <c r="O55" s="68"/>
      <c r="P55" s="2"/>
      <c r="Q55" s="2"/>
      <c r="R55" s="2"/>
      <c r="S55" s="72"/>
      <c r="T55" s="2"/>
      <c r="U55" s="72"/>
      <c r="V55" s="2"/>
      <c r="W55" s="55"/>
    </row>
    <row r="56" spans="1:23" ht="24.75" customHeight="1" thickBot="1">
      <c r="A56" s="73" t="s">
        <v>50</v>
      </c>
      <c r="B56" s="75"/>
      <c r="C56" s="77"/>
      <c r="D56" s="77"/>
      <c r="E56" s="78"/>
      <c r="F56" s="78"/>
      <c r="G56" s="78"/>
      <c r="H56" s="78"/>
      <c r="I56" s="78"/>
      <c r="J56" s="78"/>
      <c r="K56" s="79"/>
      <c r="L56" s="79"/>
      <c r="M56" s="79"/>
      <c r="N56" s="78"/>
      <c r="O56" s="78"/>
      <c r="P56" s="71"/>
      <c r="Q56" s="71"/>
      <c r="R56" s="71"/>
      <c r="S56" s="71"/>
      <c r="T56" s="71"/>
      <c r="U56" s="71"/>
      <c r="V56" s="71"/>
      <c r="W56" s="55"/>
    </row>
    <row r="57" spans="1:15" ht="12.75" customHeight="1">
      <c r="A57" s="74"/>
      <c r="B57" s="76"/>
      <c r="C57" s="74"/>
      <c r="D57" s="76"/>
      <c r="E57" s="74"/>
      <c r="F57" s="74"/>
      <c r="G57" s="74"/>
      <c r="H57" s="74"/>
      <c r="I57" s="74"/>
      <c r="J57" s="74"/>
      <c r="K57" s="80"/>
      <c r="L57" s="81"/>
      <c r="M57" s="81"/>
      <c r="N57" s="74"/>
      <c r="O57" s="74"/>
    </row>
  </sheetData>
  <sheetProtection/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showZeros="0" zoomScalePageLayoutView="0" workbookViewId="0" topLeftCell="A19">
      <selection activeCell="AA50" sqref="AA50"/>
    </sheetView>
  </sheetViews>
  <sheetFormatPr defaultColWidth="9.140625" defaultRowHeight="12.75"/>
  <cols>
    <col min="1" max="1" width="12.8515625" style="0" customWidth="1"/>
    <col min="2" max="2" width="2.57421875" style="0" customWidth="1"/>
    <col min="3" max="3" width="2.7109375" style="0" customWidth="1"/>
    <col min="4" max="5" width="4.140625" style="0" customWidth="1"/>
    <col min="6" max="6" width="6.57421875" style="0" customWidth="1"/>
    <col min="7" max="7" width="7.140625" style="0" customWidth="1"/>
    <col min="8" max="8" width="6.8515625" style="0" customWidth="1"/>
    <col min="9" max="9" width="3.421875" style="0" customWidth="1"/>
    <col min="10" max="10" width="2.8515625" style="0" customWidth="1"/>
    <col min="11" max="11" width="8.421875" style="0" customWidth="1"/>
    <col min="12" max="12" width="7.28125" style="0" customWidth="1"/>
    <col min="13" max="13" width="4.7109375" style="0" customWidth="1"/>
    <col min="14" max="14" width="1.28515625" style="0" customWidth="1"/>
    <col min="15" max="18" width="3.28125" style="0" customWidth="1"/>
    <col min="19" max="22" width="6.57421875" style="0" customWidth="1"/>
    <col min="23" max="23" width="0.7187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48</v>
      </c>
    </row>
    <row r="2" spans="1:22" ht="14.25" customHeight="1">
      <c r="A2" s="5" t="s">
        <v>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>
      <c r="A3" s="5" t="s">
        <v>7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>
      <c r="A4" s="5" t="s">
        <v>45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7" t="s">
        <v>4</v>
      </c>
      <c r="B9" s="8" t="s">
        <v>43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9</v>
      </c>
      <c r="P9" s="9"/>
      <c r="Q9" s="9"/>
      <c r="R9" s="9"/>
      <c r="S9" s="9"/>
      <c r="T9" s="9"/>
      <c r="U9" s="1"/>
      <c r="V9" s="1"/>
    </row>
    <row r="10" spans="1:22" ht="14.25" customHeight="1">
      <c r="A10" s="7" t="s">
        <v>18</v>
      </c>
      <c r="B10" s="11" t="s">
        <v>52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67</v>
      </c>
      <c r="O10" s="11" t="s">
        <v>52</v>
      </c>
      <c r="P10" s="12"/>
      <c r="Q10" s="12"/>
      <c r="R10" s="12"/>
      <c r="S10" s="12"/>
      <c r="T10" s="12"/>
      <c r="U10" s="1"/>
      <c r="V10" s="1"/>
    </row>
    <row r="11" spans="1:22" ht="14.25" customHeight="1">
      <c r="A11" s="7" t="s">
        <v>12</v>
      </c>
      <c r="B11" s="12" t="s">
        <v>30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>
      <c r="A12" s="7" t="s">
        <v>46</v>
      </c>
      <c r="B12" s="12" t="s">
        <v>19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60</v>
      </c>
      <c r="O12" s="5" t="s">
        <v>85</v>
      </c>
      <c r="P12" s="9"/>
      <c r="Q12" s="9"/>
      <c r="R12" s="9"/>
      <c r="S12" s="9"/>
      <c r="T12" s="9"/>
      <c r="U12" s="1"/>
      <c r="V12" s="1"/>
    </row>
    <row r="13" spans="1:22" ht="14.25" customHeight="1">
      <c r="A13" s="7" t="s">
        <v>40</v>
      </c>
      <c r="B13" s="12" t="s">
        <v>65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21</v>
      </c>
      <c r="O13" s="11">
        <v>2017</v>
      </c>
      <c r="P13" s="12"/>
      <c r="Q13" s="12"/>
      <c r="R13" s="12"/>
      <c r="S13" s="12"/>
      <c r="T13" s="12"/>
      <c r="U13" s="1"/>
      <c r="V13" s="1"/>
    </row>
    <row r="14" spans="1:22" ht="18" customHeight="1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</v>
      </c>
      <c r="M16" s="21"/>
      <c r="N16" s="22"/>
      <c r="O16" s="22"/>
      <c r="P16" s="22"/>
      <c r="Q16" s="22"/>
      <c r="R16" s="22"/>
      <c r="S16" s="20" t="s">
        <v>63</v>
      </c>
      <c r="T16" s="22"/>
      <c r="U16" s="22"/>
      <c r="V16" s="23"/>
    </row>
    <row r="17" spans="1:22" ht="15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28</v>
      </c>
      <c r="M17" s="29"/>
      <c r="N17" s="29"/>
      <c r="O17" s="30"/>
      <c r="P17" s="30"/>
      <c r="Q17" s="29"/>
      <c r="R17" s="29"/>
      <c r="S17" s="28" t="s">
        <v>72</v>
      </c>
      <c r="T17" s="29"/>
      <c r="U17" s="29"/>
      <c r="V17" s="31"/>
    </row>
    <row r="18" spans="1:22" ht="12.75" customHeight="1">
      <c r="A18" s="24" t="s">
        <v>42</v>
      </c>
      <c r="B18" s="25" t="s">
        <v>36</v>
      </c>
      <c r="C18" s="26"/>
      <c r="D18" s="26"/>
      <c r="E18" s="26"/>
      <c r="F18" s="26"/>
      <c r="G18" s="26"/>
      <c r="H18" s="26"/>
      <c r="I18" s="26"/>
      <c r="J18" s="26"/>
      <c r="K18" s="27" t="s">
        <v>20</v>
      </c>
      <c r="L18" s="34" t="s">
        <v>32</v>
      </c>
      <c r="M18" s="35"/>
      <c r="N18" s="35"/>
      <c r="O18" s="36"/>
      <c r="P18" s="36"/>
      <c r="Q18" s="35"/>
      <c r="R18" s="35"/>
      <c r="S18" s="34" t="s">
        <v>38</v>
      </c>
      <c r="T18" s="35"/>
      <c r="U18" s="35"/>
      <c r="V18" s="37"/>
    </row>
    <row r="19" spans="1:22" ht="15" customHeight="1">
      <c r="A19" s="24" t="s">
        <v>3</v>
      </c>
      <c r="B19" s="32"/>
      <c r="C19" s="33"/>
      <c r="D19" s="33"/>
      <c r="E19" s="33"/>
      <c r="F19" s="33"/>
      <c r="G19" s="33"/>
      <c r="H19" s="33"/>
      <c r="I19" s="33"/>
      <c r="J19" s="33"/>
      <c r="K19" s="27"/>
      <c r="L19" s="38" t="s">
        <v>10</v>
      </c>
      <c r="M19" s="39"/>
      <c r="N19" s="39"/>
      <c r="O19" s="40"/>
      <c r="P19" s="39"/>
      <c r="Q19" s="39"/>
      <c r="R19" s="39"/>
      <c r="S19" s="38" t="s">
        <v>10</v>
      </c>
      <c r="T19" s="39"/>
      <c r="U19" s="39"/>
      <c r="V19" s="41"/>
    </row>
    <row r="20" spans="1:22" ht="15" customHeight="1">
      <c r="A20" s="42"/>
      <c r="B20" s="32"/>
      <c r="C20" s="33"/>
      <c r="D20" s="33"/>
      <c r="E20" s="33"/>
      <c r="F20" s="33"/>
      <c r="G20" s="33"/>
      <c r="H20" s="33"/>
      <c r="I20" s="33"/>
      <c r="J20" s="33"/>
      <c r="K20" s="43"/>
      <c r="L20" s="38" t="s">
        <v>11</v>
      </c>
      <c r="M20" s="38"/>
      <c r="N20" s="38"/>
      <c r="O20" s="38" t="s">
        <v>69</v>
      </c>
      <c r="P20" s="38"/>
      <c r="Q20" s="38"/>
      <c r="R20" s="38"/>
      <c r="S20" s="38" t="s">
        <v>11</v>
      </c>
      <c r="T20" s="40"/>
      <c r="U20" s="38" t="s">
        <v>69</v>
      </c>
      <c r="V20" s="44"/>
    </row>
    <row r="21" spans="1:22" ht="12" customHeight="1">
      <c r="A21" s="45"/>
      <c r="B21" s="38" t="s">
        <v>57</v>
      </c>
      <c r="C21" s="48"/>
      <c r="D21" s="48"/>
      <c r="E21" s="48"/>
      <c r="F21" s="48"/>
      <c r="G21" s="48"/>
      <c r="H21" s="48"/>
      <c r="I21" s="48"/>
      <c r="J21" s="48"/>
      <c r="K21" s="50" t="s">
        <v>39</v>
      </c>
      <c r="L21" s="38" t="s">
        <v>23</v>
      </c>
      <c r="M21" s="48"/>
      <c r="N21" s="48"/>
      <c r="O21" s="38" t="s">
        <v>1</v>
      </c>
      <c r="P21" s="48"/>
      <c r="Q21" s="48"/>
      <c r="R21" s="48"/>
      <c r="S21" s="38" t="s">
        <v>55</v>
      </c>
      <c r="T21" s="48"/>
      <c r="U21" s="38" t="s">
        <v>37</v>
      </c>
      <c r="V21" s="41"/>
    </row>
    <row r="22" spans="1:23" ht="21.75" customHeight="1">
      <c r="A22" s="46"/>
      <c r="B22" s="47" t="s">
        <v>70</v>
      </c>
      <c r="C22" s="49"/>
      <c r="D22" s="49"/>
      <c r="E22" s="14"/>
      <c r="F22" s="14"/>
      <c r="G22" s="14"/>
      <c r="H22" s="14"/>
      <c r="I22" s="14"/>
      <c r="J22" s="49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4" ht="14.25" customHeight="1">
      <c r="A23" s="56">
        <v>1010</v>
      </c>
      <c r="B23" s="57" t="s">
        <v>49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159">
        <f>344.4+813</f>
        <v>1157.4</v>
      </c>
      <c r="M23" s="159"/>
      <c r="N23" s="60"/>
      <c r="O23" s="158"/>
      <c r="P23" s="158"/>
      <c r="Q23" s="158"/>
      <c r="R23" s="159"/>
      <c r="S23" s="158"/>
      <c r="T23" s="159"/>
      <c r="U23" s="160"/>
      <c r="V23" s="159"/>
      <c r="W23" s="55"/>
      <c r="X23">
        <v>1157.4</v>
      </c>
    </row>
    <row r="24" spans="1:24" ht="13.5" customHeight="1">
      <c r="A24" s="56">
        <v>1020</v>
      </c>
      <c r="B24" s="57" t="s">
        <v>59</v>
      </c>
      <c r="C24" s="1"/>
      <c r="D24" s="1"/>
      <c r="E24" s="1"/>
      <c r="F24" s="1"/>
      <c r="G24" s="1"/>
      <c r="H24" s="1"/>
      <c r="I24" s="1"/>
      <c r="J24" s="1"/>
      <c r="K24" s="58" t="s">
        <v>24</v>
      </c>
      <c r="L24" s="161">
        <f>272+508</f>
        <v>780</v>
      </c>
      <c r="M24" s="161"/>
      <c r="N24" s="61"/>
      <c r="O24" s="163"/>
      <c r="P24" s="163"/>
      <c r="Q24" s="163"/>
      <c r="R24" s="161"/>
      <c r="S24" s="163"/>
      <c r="T24" s="161"/>
      <c r="U24" s="164"/>
      <c r="V24" s="161"/>
      <c r="W24" s="55"/>
      <c r="X24">
        <v>780</v>
      </c>
    </row>
    <row r="25" spans="1:24" ht="13.5" customHeight="1">
      <c r="A25" s="56">
        <v>1030</v>
      </c>
      <c r="B25" s="57" t="s">
        <v>16</v>
      </c>
      <c r="C25" s="1"/>
      <c r="D25" s="1"/>
      <c r="E25" s="1"/>
      <c r="F25" s="1"/>
      <c r="G25" s="1"/>
      <c r="H25" s="1"/>
      <c r="I25" s="1"/>
      <c r="J25" s="1"/>
      <c r="K25" s="58" t="s">
        <v>24</v>
      </c>
      <c r="L25" s="159">
        <f>485+1105.1</f>
        <v>1590.1</v>
      </c>
      <c r="M25" s="159"/>
      <c r="N25" s="60"/>
      <c r="O25" s="158"/>
      <c r="P25" s="158"/>
      <c r="Q25" s="158"/>
      <c r="R25" s="159"/>
      <c r="S25" s="158"/>
      <c r="T25" s="159"/>
      <c r="U25" s="160"/>
      <c r="V25" s="159"/>
      <c r="W25" s="55"/>
      <c r="X25">
        <v>1590.1</v>
      </c>
    </row>
    <row r="26" spans="1:24" ht="13.5" customHeight="1">
      <c r="A26" s="56">
        <v>1040</v>
      </c>
      <c r="B26" s="57" t="s">
        <v>27</v>
      </c>
      <c r="C26" s="1"/>
      <c r="D26" s="1"/>
      <c r="E26" s="1"/>
      <c r="F26" s="1"/>
      <c r="G26" s="1"/>
      <c r="H26" s="1"/>
      <c r="I26" s="1"/>
      <c r="J26" s="1"/>
      <c r="K26" s="58" t="s">
        <v>24</v>
      </c>
      <c r="L26" s="161">
        <f>28444+39093</f>
        <v>67537</v>
      </c>
      <c r="M26" s="161"/>
      <c r="N26" s="61"/>
      <c r="O26" s="158"/>
      <c r="P26" s="158"/>
      <c r="Q26" s="158"/>
      <c r="R26" s="159"/>
      <c r="S26" s="158"/>
      <c r="T26" s="159"/>
      <c r="U26" s="160"/>
      <c r="V26" s="159"/>
      <c r="W26" s="55"/>
      <c r="X26">
        <v>67537</v>
      </c>
    </row>
    <row r="27" spans="1:24" ht="13.5" customHeight="1">
      <c r="A27" s="56">
        <v>1050</v>
      </c>
      <c r="B27" s="57" t="s">
        <v>8</v>
      </c>
      <c r="C27" s="1"/>
      <c r="D27" s="1"/>
      <c r="E27" s="1"/>
      <c r="F27" s="1"/>
      <c r="G27" s="1"/>
      <c r="H27" s="1"/>
      <c r="I27" s="1"/>
      <c r="J27" s="1"/>
      <c r="K27" s="58" t="s">
        <v>24</v>
      </c>
      <c r="L27" s="159">
        <f>13.808+20.538+1.7+7.8</f>
        <v>43.846000000000004</v>
      </c>
      <c r="M27" s="159"/>
      <c r="N27" s="60"/>
      <c r="O27" s="158"/>
      <c r="P27" s="158"/>
      <c r="Q27" s="158"/>
      <c r="R27" s="159"/>
      <c r="S27" s="158"/>
      <c r="T27" s="159"/>
      <c r="U27" s="160"/>
      <c r="V27" s="159"/>
      <c r="W27" s="55"/>
      <c r="X27">
        <v>43.846000000000004</v>
      </c>
    </row>
    <row r="28" spans="1:24" ht="13.5" customHeight="1">
      <c r="A28" s="56">
        <v>1060</v>
      </c>
      <c r="B28" s="57" t="s">
        <v>64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159">
        <f>35454.1+65062.4</f>
        <v>100516.5</v>
      </c>
      <c r="M28" s="159"/>
      <c r="N28" s="60"/>
      <c r="O28" s="158"/>
      <c r="P28" s="158"/>
      <c r="Q28" s="158"/>
      <c r="R28" s="159"/>
      <c r="S28" s="158"/>
      <c r="T28" s="159"/>
      <c r="U28" s="160"/>
      <c r="V28" s="159"/>
      <c r="W28" s="55"/>
      <c r="X28">
        <v>100516.5</v>
      </c>
    </row>
    <row r="29" spans="1:24" ht="13.5" customHeight="1">
      <c r="A29" s="56">
        <v>1070</v>
      </c>
      <c r="B29" s="57" t="s">
        <v>41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159">
        <f>47537.9+96228.9</f>
        <v>143766.8</v>
      </c>
      <c r="M29" s="159"/>
      <c r="N29" s="60"/>
      <c r="O29" s="158"/>
      <c r="P29" s="158"/>
      <c r="Q29" s="158"/>
      <c r="R29" s="159"/>
      <c r="S29" s="158"/>
      <c r="T29" s="159"/>
      <c r="U29" s="160"/>
      <c r="V29" s="159"/>
      <c r="W29" s="55"/>
      <c r="X29">
        <v>143766.8</v>
      </c>
    </row>
    <row r="30" spans="1:23" ht="13.5" customHeight="1">
      <c r="A30" s="56">
        <v>1080</v>
      </c>
      <c r="B30" s="57" t="s">
        <v>14</v>
      </c>
      <c r="C30" s="1"/>
      <c r="D30" s="1"/>
      <c r="E30" s="1"/>
      <c r="F30" s="1"/>
      <c r="G30" s="1"/>
      <c r="H30" s="1"/>
      <c r="I30" s="1"/>
      <c r="J30" s="1"/>
      <c r="K30" s="58" t="s">
        <v>56</v>
      </c>
      <c r="L30" s="162">
        <f>L28/L29</f>
        <v>0.699163506456289</v>
      </c>
      <c r="M30" s="162"/>
      <c r="N30" s="62"/>
      <c r="O30" s="158"/>
      <c r="P30" s="158"/>
      <c r="Q30" s="158"/>
      <c r="R30" s="159"/>
      <c r="S30" s="158"/>
      <c r="T30" s="159"/>
      <c r="U30" s="160"/>
      <c r="V30" s="159"/>
      <c r="W30" s="55"/>
    </row>
    <row r="31" spans="1:23" ht="13.5" customHeight="1">
      <c r="A31" s="56"/>
      <c r="B31" s="57" t="s">
        <v>33</v>
      </c>
      <c r="C31" s="1"/>
      <c r="D31" s="1"/>
      <c r="E31" s="1"/>
      <c r="F31" s="1"/>
      <c r="G31" s="1"/>
      <c r="H31" s="1"/>
      <c r="I31" s="1"/>
      <c r="J31" s="1"/>
      <c r="K31" s="58"/>
      <c r="L31" s="59"/>
      <c r="M31" s="60"/>
      <c r="N31" s="60"/>
      <c r="O31" s="158"/>
      <c r="P31" s="158"/>
      <c r="Q31" s="158"/>
      <c r="R31" s="159"/>
      <c r="S31" s="158"/>
      <c r="T31" s="159"/>
      <c r="U31" s="160"/>
      <c r="V31" s="159"/>
      <c r="W31" s="55"/>
    </row>
    <row r="32" spans="1:24" ht="13.5" customHeight="1">
      <c r="A32" s="56">
        <v>1091</v>
      </c>
      <c r="B32" s="57"/>
      <c r="C32" s="1" t="s">
        <v>54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159">
        <f>3545.4+6506.5</f>
        <v>10051.9</v>
      </c>
      <c r="M32" s="159"/>
      <c r="N32" s="60"/>
      <c r="O32" s="158"/>
      <c r="P32" s="158"/>
      <c r="Q32" s="158"/>
      <c r="R32" s="159"/>
      <c r="S32" s="158"/>
      <c r="T32" s="159"/>
      <c r="U32" s="160"/>
      <c r="V32" s="159"/>
      <c r="W32" s="55"/>
      <c r="X32">
        <v>10051.9</v>
      </c>
    </row>
    <row r="33" spans="1:24" ht="13.5" customHeight="1">
      <c r="A33" s="56">
        <v>1092</v>
      </c>
      <c r="B33" s="57"/>
      <c r="C33" s="1" t="s">
        <v>47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159">
        <f>16.6+37.8</f>
        <v>54.4</v>
      </c>
      <c r="M33" s="159"/>
      <c r="N33" s="60"/>
      <c r="O33" s="158"/>
      <c r="P33" s="158"/>
      <c r="Q33" s="158"/>
      <c r="R33" s="159"/>
      <c r="S33" s="158"/>
      <c r="T33" s="159"/>
      <c r="U33" s="160"/>
      <c r="V33" s="159"/>
      <c r="W33" s="55"/>
      <c r="X33">
        <v>54.4</v>
      </c>
    </row>
    <row r="34" spans="1:24" ht="13.5" customHeight="1">
      <c r="A34" s="56">
        <v>1093</v>
      </c>
      <c r="B34" s="57"/>
      <c r="C34" s="1" t="s">
        <v>25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159">
        <f>2+12.2</f>
        <v>14.2</v>
      </c>
      <c r="M34" s="159"/>
      <c r="N34" s="60"/>
      <c r="O34" s="158"/>
      <c r="P34" s="158"/>
      <c r="Q34" s="158"/>
      <c r="R34" s="159"/>
      <c r="S34" s="158"/>
      <c r="T34" s="159"/>
      <c r="U34" s="160"/>
      <c r="V34" s="159"/>
      <c r="W34" s="55"/>
      <c r="X34">
        <v>14.2</v>
      </c>
    </row>
    <row r="35" spans="1:24" ht="13.5" customHeight="1">
      <c r="A35" s="56">
        <v>1094</v>
      </c>
      <c r="B35" s="57"/>
      <c r="C35" s="1" t="s">
        <v>0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159">
        <f>L32+L33+L34</f>
        <v>10120.5</v>
      </c>
      <c r="M35" s="159"/>
      <c r="N35" s="60"/>
      <c r="O35" s="158"/>
      <c r="P35" s="158"/>
      <c r="Q35" s="158"/>
      <c r="R35" s="159"/>
      <c r="S35" s="158"/>
      <c r="T35" s="159"/>
      <c r="U35" s="160"/>
      <c r="V35" s="159"/>
      <c r="W35" s="55"/>
      <c r="X35">
        <v>10120.5</v>
      </c>
    </row>
    <row r="36" spans="1:24" ht="13.5" customHeight="1">
      <c r="A36" s="56">
        <v>1100</v>
      </c>
      <c r="B36" s="57" t="s">
        <v>44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159">
        <f>5631.9+11102.3</f>
        <v>16734.199999999997</v>
      </c>
      <c r="M36" s="159"/>
      <c r="N36" s="60"/>
      <c r="O36" s="158"/>
      <c r="P36" s="158"/>
      <c r="Q36" s="158"/>
      <c r="R36" s="159"/>
      <c r="S36" s="158"/>
      <c r="T36" s="159"/>
      <c r="U36" s="160"/>
      <c r="V36" s="159"/>
      <c r="W36" s="55"/>
      <c r="X36">
        <v>16734.199999999997</v>
      </c>
    </row>
    <row r="37" spans="1:23" ht="13.5" customHeight="1">
      <c r="A37" s="56">
        <v>1110</v>
      </c>
      <c r="B37" s="57" t="s">
        <v>15</v>
      </c>
      <c r="C37" s="1"/>
      <c r="D37" s="1"/>
      <c r="E37" s="1"/>
      <c r="F37" s="1"/>
      <c r="G37" s="1"/>
      <c r="H37" s="1"/>
      <c r="I37" s="1"/>
      <c r="J37" s="1"/>
      <c r="K37" s="58" t="s">
        <v>56</v>
      </c>
      <c r="L37" s="162">
        <f>L35/L36</f>
        <v>0.6047794337345079</v>
      </c>
      <c r="M37" s="162"/>
      <c r="N37" s="62"/>
      <c r="O37" s="158"/>
      <c r="P37" s="158"/>
      <c r="Q37" s="158"/>
      <c r="R37" s="159"/>
      <c r="S37" s="158"/>
      <c r="T37" s="159"/>
      <c r="U37" s="160"/>
      <c r="V37" s="159"/>
      <c r="W37" s="55"/>
    </row>
    <row r="38" spans="1:23" ht="11.25" customHeight="1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59"/>
      <c r="M38" s="60"/>
      <c r="N38" s="60"/>
      <c r="O38" s="158"/>
      <c r="P38" s="158"/>
      <c r="Q38" s="158"/>
      <c r="R38" s="159"/>
      <c r="S38" s="158"/>
      <c r="T38" s="159"/>
      <c r="U38" s="160"/>
      <c r="V38" s="159"/>
      <c r="W38" s="55"/>
    </row>
    <row r="39" spans="1:23" ht="13.5" customHeight="1">
      <c r="A39" s="56"/>
      <c r="B39" s="63" t="s">
        <v>62</v>
      </c>
      <c r="C39" s="1"/>
      <c r="D39" s="1"/>
      <c r="E39" s="1"/>
      <c r="F39" s="1"/>
      <c r="G39" s="1"/>
      <c r="H39" s="1"/>
      <c r="I39" s="1"/>
      <c r="J39" s="1"/>
      <c r="K39" s="58"/>
      <c r="L39" s="64"/>
      <c r="M39" s="65"/>
      <c r="N39" s="65"/>
      <c r="O39" s="64"/>
      <c r="P39" s="65"/>
      <c r="Q39" s="65"/>
      <c r="R39" s="65"/>
      <c r="S39" s="64"/>
      <c r="T39" s="65"/>
      <c r="U39" s="64"/>
      <c r="V39" s="65"/>
      <c r="W39" s="55"/>
    </row>
    <row r="40" spans="1:24" ht="13.5" customHeight="1">
      <c r="A40" s="56">
        <v>2010</v>
      </c>
      <c r="B40" s="57" t="s">
        <v>29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159">
        <f>3.2+73.5</f>
        <v>76.7</v>
      </c>
      <c r="M40" s="159"/>
      <c r="N40" s="60"/>
      <c r="O40" s="158"/>
      <c r="P40" s="158"/>
      <c r="Q40" s="158"/>
      <c r="R40" s="159"/>
      <c r="S40" s="158"/>
      <c r="T40" s="159"/>
      <c r="U40" s="160"/>
      <c r="V40" s="159"/>
      <c r="W40" s="55"/>
      <c r="X40">
        <v>76.7</v>
      </c>
    </row>
    <row r="41" spans="1:24" ht="13.5" customHeight="1">
      <c r="A41" s="56">
        <v>2020</v>
      </c>
      <c r="B41" s="57" t="s">
        <v>51</v>
      </c>
      <c r="C41" s="1"/>
      <c r="D41" s="66"/>
      <c r="E41" s="1"/>
      <c r="F41" s="1"/>
      <c r="G41" s="1"/>
      <c r="H41" s="1"/>
      <c r="I41" s="1"/>
      <c r="J41" s="1"/>
      <c r="K41" s="58" t="s">
        <v>24</v>
      </c>
      <c r="L41" s="161">
        <f>2+32</f>
        <v>34</v>
      </c>
      <c r="M41" s="161"/>
      <c r="N41" s="60"/>
      <c r="O41" s="158"/>
      <c r="P41" s="158"/>
      <c r="Q41" s="158"/>
      <c r="R41" s="159"/>
      <c r="S41" s="158"/>
      <c r="T41" s="159"/>
      <c r="U41" s="160"/>
      <c r="V41" s="159"/>
      <c r="W41" s="55"/>
      <c r="X41">
        <v>34</v>
      </c>
    </row>
    <row r="42" spans="1:24" ht="13.5" customHeight="1">
      <c r="A42" s="56">
        <v>2030</v>
      </c>
      <c r="B42" s="57" t="s">
        <v>34</v>
      </c>
      <c r="C42" s="1"/>
      <c r="D42" s="1"/>
      <c r="E42" s="1"/>
      <c r="F42" s="1"/>
      <c r="G42" s="1"/>
      <c r="H42" s="1"/>
      <c r="I42" s="1"/>
      <c r="J42" s="1"/>
      <c r="K42" s="58" t="s">
        <v>24</v>
      </c>
      <c r="L42" s="159">
        <f>4.3+96.7</f>
        <v>101</v>
      </c>
      <c r="M42" s="159"/>
      <c r="N42" s="60"/>
      <c r="O42" s="158"/>
      <c r="P42" s="158"/>
      <c r="Q42" s="158"/>
      <c r="R42" s="159"/>
      <c r="S42" s="158"/>
      <c r="T42" s="159"/>
      <c r="U42" s="160"/>
      <c r="V42" s="159"/>
      <c r="W42" s="55"/>
      <c r="X42">
        <v>101</v>
      </c>
    </row>
    <row r="43" spans="1:24" ht="13.5" customHeight="1">
      <c r="A43" s="56">
        <v>2040</v>
      </c>
      <c r="B43" s="57" t="s">
        <v>71</v>
      </c>
      <c r="C43" s="1"/>
      <c r="D43" s="1"/>
      <c r="E43" s="1"/>
      <c r="F43" s="1"/>
      <c r="G43" s="1"/>
      <c r="H43" s="1"/>
      <c r="I43" s="1"/>
      <c r="J43" s="1"/>
      <c r="K43" s="58" t="s">
        <v>24</v>
      </c>
      <c r="L43" s="161">
        <f>89+5139</f>
        <v>5228</v>
      </c>
      <c r="M43" s="161"/>
      <c r="N43" s="61"/>
      <c r="O43" s="158"/>
      <c r="P43" s="158"/>
      <c r="Q43" s="158"/>
      <c r="R43" s="159"/>
      <c r="S43" s="158"/>
      <c r="T43" s="159"/>
      <c r="U43" s="160"/>
      <c r="V43" s="159"/>
      <c r="W43" s="55"/>
      <c r="X43">
        <v>5228</v>
      </c>
    </row>
    <row r="44" spans="1:24" ht="13.5" customHeight="1">
      <c r="A44" s="56">
        <v>2050</v>
      </c>
      <c r="B44" s="57" t="s">
        <v>58</v>
      </c>
      <c r="C44" s="1"/>
      <c r="D44" s="66"/>
      <c r="E44" s="1"/>
      <c r="F44" s="1"/>
      <c r="G44" s="1"/>
      <c r="H44" s="1"/>
      <c r="I44" s="1"/>
      <c r="J44" s="1"/>
      <c r="K44" s="58" t="s">
        <v>24</v>
      </c>
      <c r="L44" s="159">
        <f>0+0+0+0</f>
        <v>0</v>
      </c>
      <c r="M44" s="159"/>
      <c r="N44" s="60"/>
      <c r="O44" s="158"/>
      <c r="P44" s="158"/>
      <c r="Q44" s="158"/>
      <c r="R44" s="159"/>
      <c r="S44" s="158"/>
      <c r="T44" s="159"/>
      <c r="U44" s="160"/>
      <c r="V44" s="159"/>
      <c r="W44" s="55"/>
      <c r="X44">
        <v>0</v>
      </c>
    </row>
    <row r="45" spans="1:24" ht="13.5" customHeight="1">
      <c r="A45" s="56">
        <v>2060</v>
      </c>
      <c r="B45" s="57" t="s">
        <v>22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159">
        <f>141.9+11802.7</f>
        <v>11944.6</v>
      </c>
      <c r="M45" s="159"/>
      <c r="N45" s="60"/>
      <c r="O45" s="158"/>
      <c r="P45" s="158"/>
      <c r="Q45" s="158"/>
      <c r="R45" s="159"/>
      <c r="S45" s="158"/>
      <c r="T45" s="159"/>
      <c r="U45" s="160"/>
      <c r="V45" s="159"/>
      <c r="W45" s="55"/>
      <c r="X45">
        <v>11944.6</v>
      </c>
    </row>
    <row r="46" spans="1:24" ht="13.5" customHeight="1">
      <c r="A46" s="56">
        <v>2070</v>
      </c>
      <c r="B46" s="57" t="s">
        <v>53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159">
        <f>328.5+13129.1</f>
        <v>13457.6</v>
      </c>
      <c r="M46" s="159"/>
      <c r="N46" s="60"/>
      <c r="O46" s="158"/>
      <c r="P46" s="158"/>
      <c r="Q46" s="158"/>
      <c r="R46" s="159"/>
      <c r="S46" s="158"/>
      <c r="T46" s="159"/>
      <c r="U46" s="160"/>
      <c r="V46" s="159"/>
      <c r="W46" s="55"/>
      <c r="X46">
        <v>13457.6</v>
      </c>
    </row>
    <row r="47" spans="1:23" ht="13.5" customHeight="1">
      <c r="A47" s="56"/>
      <c r="B47" s="57" t="s">
        <v>13</v>
      </c>
      <c r="C47" s="1" t="s">
        <v>61</v>
      </c>
      <c r="D47" s="1"/>
      <c r="E47" s="1"/>
      <c r="F47" s="1"/>
      <c r="G47" s="1"/>
      <c r="H47" s="1"/>
      <c r="I47" s="1"/>
      <c r="J47" s="1"/>
      <c r="K47" s="58"/>
      <c r="L47" s="59"/>
      <c r="M47" s="60"/>
      <c r="N47" s="60"/>
      <c r="O47" s="158"/>
      <c r="P47" s="158"/>
      <c r="Q47" s="158"/>
      <c r="R47" s="159"/>
      <c r="S47" s="158"/>
      <c r="T47" s="159"/>
      <c r="U47" s="160"/>
      <c r="V47" s="159"/>
      <c r="W47" s="55"/>
    </row>
    <row r="48" spans="1:24" ht="13.5" customHeight="1">
      <c r="A48" s="56">
        <v>2091</v>
      </c>
      <c r="B48" s="57"/>
      <c r="C48" s="1" t="s">
        <v>54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159">
        <f>14.2+1180.4</f>
        <v>1194.6000000000001</v>
      </c>
      <c r="M48" s="159"/>
      <c r="N48" s="60"/>
      <c r="O48" s="158"/>
      <c r="P48" s="158"/>
      <c r="Q48" s="158"/>
      <c r="R48" s="159"/>
      <c r="S48" s="158"/>
      <c r="T48" s="159"/>
      <c r="U48" s="160"/>
      <c r="V48" s="159"/>
      <c r="W48" s="55"/>
      <c r="X48">
        <v>1194.6000000000001</v>
      </c>
    </row>
    <row r="49" spans="1:24" ht="13.5" customHeight="1">
      <c r="A49" s="56">
        <v>2092</v>
      </c>
      <c r="B49" s="57"/>
      <c r="C49" s="1" t="s">
        <v>35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159">
        <f>0+0+0+0</f>
        <v>0</v>
      </c>
      <c r="M49" s="159"/>
      <c r="N49" s="60"/>
      <c r="O49" s="158"/>
      <c r="P49" s="158"/>
      <c r="Q49" s="158"/>
      <c r="R49" s="159"/>
      <c r="S49" s="158"/>
      <c r="T49" s="159"/>
      <c r="U49" s="160"/>
      <c r="V49" s="159"/>
      <c r="W49" s="55"/>
      <c r="X49">
        <v>0</v>
      </c>
    </row>
    <row r="50" spans="1:24" ht="13.5" customHeight="1">
      <c r="A50" s="56">
        <v>2094</v>
      </c>
      <c r="B50" s="57"/>
      <c r="C50" s="1" t="s">
        <v>26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159">
        <f>L48+L49</f>
        <v>1194.6000000000001</v>
      </c>
      <c r="M50" s="159"/>
      <c r="N50" s="60"/>
      <c r="O50" s="158"/>
      <c r="P50" s="158"/>
      <c r="Q50" s="158"/>
      <c r="R50" s="159"/>
      <c r="S50" s="158"/>
      <c r="T50" s="159"/>
      <c r="U50" s="160"/>
      <c r="V50" s="159"/>
      <c r="W50" s="55"/>
      <c r="X50">
        <v>1194.6000000000001</v>
      </c>
    </row>
    <row r="51" spans="1:24" ht="13.5" customHeight="1">
      <c r="A51" s="56">
        <v>2100</v>
      </c>
      <c r="B51" s="57" t="s">
        <v>31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159">
        <f>37.5+1277.3</f>
        <v>1314.8</v>
      </c>
      <c r="M51" s="159"/>
      <c r="N51" s="60"/>
      <c r="O51" s="158"/>
      <c r="P51" s="158"/>
      <c r="Q51" s="158"/>
      <c r="R51" s="159"/>
      <c r="S51" s="158"/>
      <c r="T51" s="159"/>
      <c r="U51" s="160"/>
      <c r="V51" s="159"/>
      <c r="W51" s="55"/>
      <c r="X51">
        <v>1314.8</v>
      </c>
    </row>
    <row r="52" spans="1:23" ht="10.5" customHeight="1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59"/>
      <c r="M52" s="60"/>
      <c r="N52" s="60"/>
      <c r="O52" s="158"/>
      <c r="P52" s="158"/>
      <c r="Q52" s="158"/>
      <c r="R52" s="159"/>
      <c r="S52" s="158"/>
      <c r="T52" s="159"/>
      <c r="U52" s="160"/>
      <c r="V52" s="159"/>
      <c r="W52" s="55"/>
    </row>
    <row r="53" spans="1:23" ht="13.5" customHeight="1">
      <c r="A53" s="56"/>
      <c r="B53" s="63" t="s">
        <v>66</v>
      </c>
      <c r="C53" s="1"/>
      <c r="D53" s="1"/>
      <c r="E53" s="1"/>
      <c r="F53" s="1"/>
      <c r="G53" s="1"/>
      <c r="H53" s="1"/>
      <c r="I53" s="1"/>
      <c r="J53" s="1"/>
      <c r="K53" s="58"/>
      <c r="L53" s="64"/>
      <c r="M53" s="65"/>
      <c r="N53" s="65"/>
      <c r="O53" s="64"/>
      <c r="P53" s="65"/>
      <c r="Q53" s="65"/>
      <c r="R53" s="65"/>
      <c r="S53" s="64"/>
      <c r="T53" s="65"/>
      <c r="U53" s="64"/>
      <c r="V53" s="65"/>
      <c r="W53" s="55"/>
    </row>
    <row r="54" spans="1:23" ht="13.5" customHeight="1">
      <c r="A54" s="56">
        <v>2330</v>
      </c>
      <c r="B54" s="57" t="s">
        <v>68</v>
      </c>
      <c r="C54" s="1"/>
      <c r="D54" s="1"/>
      <c r="E54" s="1"/>
      <c r="F54" s="1"/>
      <c r="G54" s="1"/>
      <c r="H54" s="1"/>
      <c r="I54" s="1"/>
      <c r="J54" s="1"/>
      <c r="K54" s="58" t="s">
        <v>24</v>
      </c>
      <c r="L54" s="159">
        <v>0.7</v>
      </c>
      <c r="M54" s="159"/>
      <c r="N54" s="60"/>
      <c r="O54" s="158">
        <v>0.7</v>
      </c>
      <c r="P54" s="158"/>
      <c r="Q54" s="158"/>
      <c r="R54" s="159"/>
      <c r="S54" s="158"/>
      <c r="T54" s="159"/>
      <c r="U54" s="160"/>
      <c r="V54" s="159"/>
      <c r="W54" s="55"/>
    </row>
    <row r="55" spans="1:23" ht="10.5" customHeight="1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72"/>
      <c r="M55" s="2"/>
      <c r="N55" s="69"/>
      <c r="O55" s="68"/>
      <c r="P55" s="2"/>
      <c r="Q55" s="2"/>
      <c r="R55" s="2"/>
      <c r="S55" s="72"/>
      <c r="T55" s="2"/>
      <c r="U55" s="72"/>
      <c r="V55" s="2"/>
      <c r="W55" s="55"/>
    </row>
    <row r="56" spans="1:23" ht="24.75" customHeight="1" thickBot="1">
      <c r="A56" s="73" t="s">
        <v>50</v>
      </c>
      <c r="B56" s="75"/>
      <c r="C56" s="77"/>
      <c r="D56" s="77"/>
      <c r="E56" s="78"/>
      <c r="F56" s="78"/>
      <c r="G56" s="78"/>
      <c r="H56" s="78"/>
      <c r="I56" s="78"/>
      <c r="J56" s="78"/>
      <c r="K56" s="79"/>
      <c r="L56" s="79"/>
      <c r="M56" s="79"/>
      <c r="N56" s="78"/>
      <c r="O56" s="78"/>
      <c r="P56" s="71"/>
      <c r="Q56" s="71"/>
      <c r="R56" s="71"/>
      <c r="S56" s="71"/>
      <c r="T56" s="71"/>
      <c r="U56" s="71"/>
      <c r="V56" s="71"/>
      <c r="W56" s="55"/>
    </row>
    <row r="57" spans="1:15" ht="12.75" customHeight="1">
      <c r="A57" s="74"/>
      <c r="B57" s="76"/>
      <c r="C57" s="74"/>
      <c r="D57" s="76"/>
      <c r="E57" s="74"/>
      <c r="F57" s="74"/>
      <c r="G57" s="74"/>
      <c r="H57" s="74"/>
      <c r="I57" s="74"/>
      <c r="J57" s="74"/>
      <c r="K57" s="80"/>
      <c r="L57" s="81"/>
      <c r="M57" s="81"/>
      <c r="N57" s="74"/>
      <c r="O57" s="74"/>
    </row>
  </sheetData>
  <sheetProtection/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showZeros="0" zoomScalePageLayoutView="0" workbookViewId="0" topLeftCell="A16">
      <selection activeCell="AC63" sqref="AC63"/>
    </sheetView>
  </sheetViews>
  <sheetFormatPr defaultColWidth="9.140625" defaultRowHeight="12.75"/>
  <cols>
    <col min="1" max="1" width="12.8515625" style="0" customWidth="1"/>
    <col min="2" max="2" width="2.57421875" style="0" customWidth="1"/>
    <col min="3" max="3" width="2.7109375" style="0" customWidth="1"/>
    <col min="4" max="5" width="4.140625" style="0" customWidth="1"/>
    <col min="6" max="6" width="6.57421875" style="0" customWidth="1"/>
    <col min="7" max="7" width="7.140625" style="0" customWidth="1"/>
    <col min="8" max="8" width="6.8515625" style="0" customWidth="1"/>
    <col min="9" max="9" width="3.421875" style="0" customWidth="1"/>
    <col min="10" max="10" width="2.8515625" style="0" customWidth="1"/>
    <col min="11" max="11" width="8.421875" style="0" customWidth="1"/>
    <col min="12" max="12" width="7.28125" style="0" customWidth="1"/>
    <col min="13" max="13" width="4.7109375" style="0" customWidth="1"/>
    <col min="14" max="14" width="1.28515625" style="0" customWidth="1"/>
    <col min="15" max="18" width="3.28125" style="0" customWidth="1"/>
    <col min="19" max="22" width="6.57421875" style="0" customWidth="1"/>
    <col min="23" max="23" width="0.7187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48</v>
      </c>
    </row>
    <row r="2" spans="1:22" ht="14.25" customHeight="1">
      <c r="A2" s="5" t="s">
        <v>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>
      <c r="A3" s="5" t="s">
        <v>7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>
      <c r="A4" s="5" t="s">
        <v>45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7" t="s">
        <v>4</v>
      </c>
      <c r="B9" s="8" t="s">
        <v>43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9</v>
      </c>
      <c r="P9" s="9"/>
      <c r="Q9" s="9"/>
      <c r="R9" s="9"/>
      <c r="S9" s="9"/>
      <c r="T9" s="9"/>
      <c r="U9" s="1"/>
      <c r="V9" s="1"/>
    </row>
    <row r="10" spans="1:22" ht="14.25" customHeight="1">
      <c r="A10" s="7" t="s">
        <v>18</v>
      </c>
      <c r="B10" s="11" t="s">
        <v>52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67</v>
      </c>
      <c r="O10" s="11" t="s">
        <v>52</v>
      </c>
      <c r="P10" s="12"/>
      <c r="Q10" s="12"/>
      <c r="R10" s="12"/>
      <c r="S10" s="12"/>
      <c r="T10" s="12"/>
      <c r="U10" s="1"/>
      <c r="V10" s="1"/>
    </row>
    <row r="11" spans="1:22" ht="14.25" customHeight="1">
      <c r="A11" s="7" t="s">
        <v>12</v>
      </c>
      <c r="B11" s="12" t="s">
        <v>30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>
      <c r="A12" s="7" t="s">
        <v>46</v>
      </c>
      <c r="B12" s="12" t="s">
        <v>19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60</v>
      </c>
      <c r="O12" s="5" t="s">
        <v>83</v>
      </c>
      <c r="P12" s="9"/>
      <c r="Q12" s="9"/>
      <c r="R12" s="9"/>
      <c r="S12" s="9"/>
      <c r="T12" s="9"/>
      <c r="U12" s="1"/>
      <c r="V12" s="1"/>
    </row>
    <row r="13" spans="1:22" ht="14.25" customHeight="1">
      <c r="A13" s="7" t="s">
        <v>40</v>
      </c>
      <c r="B13" s="12" t="s">
        <v>65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21</v>
      </c>
      <c r="O13" s="11">
        <v>2017</v>
      </c>
      <c r="P13" s="12"/>
      <c r="Q13" s="12"/>
      <c r="R13" s="12"/>
      <c r="S13" s="12"/>
      <c r="T13" s="12"/>
      <c r="U13" s="1"/>
      <c r="V13" s="1"/>
    </row>
    <row r="14" spans="1:22" ht="18" customHeight="1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</v>
      </c>
      <c r="M16" s="21"/>
      <c r="N16" s="22"/>
      <c r="O16" s="22"/>
      <c r="P16" s="22"/>
      <c r="Q16" s="22"/>
      <c r="R16" s="22"/>
      <c r="S16" s="20" t="s">
        <v>63</v>
      </c>
      <c r="T16" s="22"/>
      <c r="U16" s="22"/>
      <c r="V16" s="23"/>
    </row>
    <row r="17" spans="1:22" ht="15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28</v>
      </c>
      <c r="M17" s="29"/>
      <c r="N17" s="29"/>
      <c r="O17" s="30"/>
      <c r="P17" s="30"/>
      <c r="Q17" s="29"/>
      <c r="R17" s="29"/>
      <c r="S17" s="28" t="s">
        <v>72</v>
      </c>
      <c r="T17" s="29"/>
      <c r="U17" s="29"/>
      <c r="V17" s="31"/>
    </row>
    <row r="18" spans="1:22" ht="12.75" customHeight="1">
      <c r="A18" s="24" t="s">
        <v>42</v>
      </c>
      <c r="B18" s="25" t="s">
        <v>36</v>
      </c>
      <c r="C18" s="26"/>
      <c r="D18" s="26"/>
      <c r="E18" s="26"/>
      <c r="F18" s="26"/>
      <c r="G18" s="26"/>
      <c r="H18" s="26"/>
      <c r="I18" s="26"/>
      <c r="J18" s="26"/>
      <c r="K18" s="27" t="s">
        <v>20</v>
      </c>
      <c r="L18" s="34" t="s">
        <v>32</v>
      </c>
      <c r="M18" s="35"/>
      <c r="N18" s="35"/>
      <c r="O18" s="36"/>
      <c r="P18" s="36"/>
      <c r="Q18" s="35"/>
      <c r="R18" s="35"/>
      <c r="S18" s="34" t="s">
        <v>38</v>
      </c>
      <c r="T18" s="35"/>
      <c r="U18" s="35"/>
      <c r="V18" s="37"/>
    </row>
    <row r="19" spans="1:22" ht="15" customHeight="1">
      <c r="A19" s="24" t="s">
        <v>3</v>
      </c>
      <c r="B19" s="32"/>
      <c r="C19" s="33"/>
      <c r="D19" s="33"/>
      <c r="E19" s="33"/>
      <c r="F19" s="33"/>
      <c r="G19" s="33"/>
      <c r="H19" s="33"/>
      <c r="I19" s="33"/>
      <c r="J19" s="33"/>
      <c r="K19" s="27"/>
      <c r="L19" s="38" t="s">
        <v>10</v>
      </c>
      <c r="M19" s="39"/>
      <c r="N19" s="39"/>
      <c r="O19" s="40"/>
      <c r="P19" s="39"/>
      <c r="Q19" s="39"/>
      <c r="R19" s="39"/>
      <c r="S19" s="38" t="s">
        <v>10</v>
      </c>
      <c r="T19" s="39"/>
      <c r="U19" s="39"/>
      <c r="V19" s="41"/>
    </row>
    <row r="20" spans="1:22" ht="15" customHeight="1">
      <c r="A20" s="42"/>
      <c r="B20" s="32"/>
      <c r="C20" s="33"/>
      <c r="D20" s="33"/>
      <c r="E20" s="33"/>
      <c r="F20" s="33"/>
      <c r="G20" s="33"/>
      <c r="H20" s="33"/>
      <c r="I20" s="33"/>
      <c r="J20" s="33"/>
      <c r="K20" s="43"/>
      <c r="L20" s="38" t="s">
        <v>11</v>
      </c>
      <c r="M20" s="38"/>
      <c r="N20" s="38"/>
      <c r="O20" s="38" t="s">
        <v>69</v>
      </c>
      <c r="P20" s="38"/>
      <c r="Q20" s="38"/>
      <c r="R20" s="38"/>
      <c r="S20" s="38" t="s">
        <v>11</v>
      </c>
      <c r="T20" s="40"/>
      <c r="U20" s="38" t="s">
        <v>69</v>
      </c>
      <c r="V20" s="44"/>
    </row>
    <row r="21" spans="1:22" ht="12" customHeight="1">
      <c r="A21" s="45"/>
      <c r="B21" s="38" t="s">
        <v>57</v>
      </c>
      <c r="C21" s="48"/>
      <c r="D21" s="48"/>
      <c r="E21" s="48"/>
      <c r="F21" s="48"/>
      <c r="G21" s="48"/>
      <c r="H21" s="48"/>
      <c r="I21" s="48"/>
      <c r="J21" s="48"/>
      <c r="K21" s="50" t="s">
        <v>39</v>
      </c>
      <c r="L21" s="38" t="s">
        <v>23</v>
      </c>
      <c r="M21" s="48"/>
      <c r="N21" s="48"/>
      <c r="O21" s="38" t="s">
        <v>1</v>
      </c>
      <c r="P21" s="48"/>
      <c r="Q21" s="48"/>
      <c r="R21" s="48"/>
      <c r="S21" s="38" t="s">
        <v>55</v>
      </c>
      <c r="T21" s="48"/>
      <c r="U21" s="38" t="s">
        <v>37</v>
      </c>
      <c r="V21" s="41"/>
    </row>
    <row r="22" spans="1:23" ht="21.75" customHeight="1">
      <c r="A22" s="46"/>
      <c r="B22" s="47" t="s">
        <v>70</v>
      </c>
      <c r="C22" s="49"/>
      <c r="D22" s="49"/>
      <c r="E22" s="14"/>
      <c r="F22" s="14"/>
      <c r="G22" s="14"/>
      <c r="H22" s="14"/>
      <c r="I22" s="14"/>
      <c r="J22" s="49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3" ht="14.25" customHeight="1">
      <c r="A23" s="56">
        <v>1010</v>
      </c>
      <c r="B23" s="57" t="s">
        <v>49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159">
        <f>355.5+919.8</f>
        <v>1275.3</v>
      </c>
      <c r="M23" s="159"/>
      <c r="N23" s="60"/>
      <c r="O23" s="158"/>
      <c r="P23" s="158"/>
      <c r="Q23" s="158"/>
      <c r="R23" s="159"/>
      <c r="S23" s="158"/>
      <c r="T23" s="159"/>
      <c r="U23" s="160"/>
      <c r="V23" s="159"/>
      <c r="W23" s="55"/>
    </row>
    <row r="24" spans="1:23" ht="13.5" customHeight="1">
      <c r="A24" s="56">
        <v>1020</v>
      </c>
      <c r="B24" s="57" t="s">
        <v>59</v>
      </c>
      <c r="C24" s="1"/>
      <c r="D24" s="1"/>
      <c r="E24" s="1"/>
      <c r="F24" s="1"/>
      <c r="G24" s="1"/>
      <c r="H24" s="1"/>
      <c r="I24" s="1"/>
      <c r="J24" s="1"/>
      <c r="K24" s="58" t="s">
        <v>24</v>
      </c>
      <c r="L24" s="161">
        <f>282+557</f>
        <v>839</v>
      </c>
      <c r="M24" s="161"/>
      <c r="N24" s="61"/>
      <c r="O24" s="163"/>
      <c r="P24" s="163"/>
      <c r="Q24" s="163"/>
      <c r="R24" s="161"/>
      <c r="S24" s="163"/>
      <c r="T24" s="161"/>
      <c r="U24" s="164"/>
      <c r="V24" s="161"/>
      <c r="W24" s="55"/>
    </row>
    <row r="25" spans="1:23" ht="13.5" customHeight="1">
      <c r="A25" s="56">
        <v>1030</v>
      </c>
      <c r="B25" s="57" t="s">
        <v>16</v>
      </c>
      <c r="C25" s="1"/>
      <c r="D25" s="1"/>
      <c r="E25" s="1"/>
      <c r="F25" s="1"/>
      <c r="G25" s="1"/>
      <c r="H25" s="1"/>
      <c r="I25" s="1"/>
      <c r="J25" s="1"/>
      <c r="K25" s="58" t="s">
        <v>24</v>
      </c>
      <c r="L25" s="159">
        <f>506.2+1247.1</f>
        <v>1753.3</v>
      </c>
      <c r="M25" s="159"/>
      <c r="N25" s="60"/>
      <c r="O25" s="158"/>
      <c r="P25" s="158"/>
      <c r="Q25" s="158"/>
      <c r="R25" s="159"/>
      <c r="S25" s="158"/>
      <c r="T25" s="159"/>
      <c r="U25" s="160"/>
      <c r="V25" s="159"/>
      <c r="W25" s="55"/>
    </row>
    <row r="26" spans="1:23" ht="13.5" customHeight="1">
      <c r="A26" s="56">
        <v>1040</v>
      </c>
      <c r="B26" s="57" t="s">
        <v>27</v>
      </c>
      <c r="C26" s="1"/>
      <c r="D26" s="1"/>
      <c r="E26" s="1"/>
      <c r="F26" s="1"/>
      <c r="G26" s="1"/>
      <c r="H26" s="1"/>
      <c r="I26" s="1"/>
      <c r="J26" s="1"/>
      <c r="K26" s="58" t="s">
        <v>24</v>
      </c>
      <c r="L26" s="161">
        <f>29457+45433</f>
        <v>74890</v>
      </c>
      <c r="M26" s="161"/>
      <c r="N26" s="61"/>
      <c r="O26" s="158"/>
      <c r="P26" s="158"/>
      <c r="Q26" s="158"/>
      <c r="R26" s="159"/>
      <c r="S26" s="158"/>
      <c r="T26" s="159"/>
      <c r="U26" s="160"/>
      <c r="V26" s="159"/>
      <c r="W26" s="55"/>
    </row>
    <row r="27" spans="1:23" ht="13.5" customHeight="1">
      <c r="A27" s="56">
        <v>1050</v>
      </c>
      <c r="B27" s="57" t="s">
        <v>8</v>
      </c>
      <c r="C27" s="1"/>
      <c r="D27" s="1"/>
      <c r="E27" s="1"/>
      <c r="F27" s="1"/>
      <c r="G27" s="1"/>
      <c r="H27" s="1"/>
      <c r="I27" s="1"/>
      <c r="J27" s="1"/>
      <c r="K27" s="58" t="s">
        <v>24</v>
      </c>
      <c r="L27" s="159">
        <f>25.352+23.062+2.5+9.9</f>
        <v>60.814</v>
      </c>
      <c r="M27" s="159"/>
      <c r="N27" s="60"/>
      <c r="O27" s="158"/>
      <c r="P27" s="158"/>
      <c r="Q27" s="158"/>
      <c r="R27" s="159"/>
      <c r="S27" s="158"/>
      <c r="T27" s="159"/>
      <c r="U27" s="160"/>
      <c r="V27" s="159"/>
      <c r="W27" s="55"/>
    </row>
    <row r="28" spans="1:23" ht="13.5" customHeight="1">
      <c r="A28" s="56">
        <v>1060</v>
      </c>
      <c r="B28" s="57" t="s">
        <v>64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159">
        <f>35310.5+77339.8</f>
        <v>112650.3</v>
      </c>
      <c r="M28" s="159"/>
      <c r="N28" s="60"/>
      <c r="O28" s="158"/>
      <c r="P28" s="158"/>
      <c r="Q28" s="158"/>
      <c r="R28" s="159"/>
      <c r="S28" s="158"/>
      <c r="T28" s="159"/>
      <c r="U28" s="160"/>
      <c r="V28" s="159"/>
      <c r="W28" s="55"/>
    </row>
    <row r="29" spans="1:23" ht="13.5" customHeight="1">
      <c r="A29" s="56">
        <v>1070</v>
      </c>
      <c r="B29" s="57" t="s">
        <v>41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159">
        <f>50455.2+114313.1</f>
        <v>164768.3</v>
      </c>
      <c r="M29" s="159"/>
      <c r="N29" s="60"/>
      <c r="O29" s="158"/>
      <c r="P29" s="158"/>
      <c r="Q29" s="158"/>
      <c r="R29" s="159"/>
      <c r="S29" s="158"/>
      <c r="T29" s="159"/>
      <c r="U29" s="160"/>
      <c r="V29" s="159"/>
      <c r="W29" s="55"/>
    </row>
    <row r="30" spans="1:23" ht="13.5" customHeight="1">
      <c r="A30" s="56">
        <v>1080</v>
      </c>
      <c r="B30" s="57" t="s">
        <v>14</v>
      </c>
      <c r="C30" s="1"/>
      <c r="D30" s="1"/>
      <c r="E30" s="1"/>
      <c r="F30" s="1"/>
      <c r="G30" s="1"/>
      <c r="H30" s="1"/>
      <c r="I30" s="1"/>
      <c r="J30" s="1"/>
      <c r="K30" s="58" t="s">
        <v>56</v>
      </c>
      <c r="L30" s="162">
        <f>L28/L29</f>
        <v>0.6836891562272598</v>
      </c>
      <c r="M30" s="162"/>
      <c r="N30" s="62"/>
      <c r="O30" s="158"/>
      <c r="P30" s="158"/>
      <c r="Q30" s="158"/>
      <c r="R30" s="159"/>
      <c r="S30" s="158"/>
      <c r="T30" s="159"/>
      <c r="U30" s="160"/>
      <c r="V30" s="159"/>
      <c r="W30" s="55"/>
    </row>
    <row r="31" spans="1:23" ht="13.5" customHeight="1">
      <c r="A31" s="56"/>
      <c r="B31" s="57" t="s">
        <v>33</v>
      </c>
      <c r="C31" s="1"/>
      <c r="D31" s="1"/>
      <c r="E31" s="1"/>
      <c r="F31" s="1"/>
      <c r="G31" s="1"/>
      <c r="H31" s="1"/>
      <c r="I31" s="1"/>
      <c r="J31" s="1"/>
      <c r="K31" s="58"/>
      <c r="L31" s="59"/>
      <c r="M31" s="60"/>
      <c r="N31" s="60"/>
      <c r="O31" s="158"/>
      <c r="P31" s="158"/>
      <c r="Q31" s="158"/>
      <c r="R31" s="159"/>
      <c r="S31" s="158"/>
      <c r="T31" s="159"/>
      <c r="U31" s="160"/>
      <c r="V31" s="159"/>
      <c r="W31" s="55"/>
    </row>
    <row r="32" spans="1:23" ht="13.5" customHeight="1">
      <c r="A32" s="56">
        <v>1091</v>
      </c>
      <c r="B32" s="57"/>
      <c r="C32" s="1" t="s">
        <v>54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159">
        <f>3651.6+7735.3</f>
        <v>11386.9</v>
      </c>
      <c r="M32" s="159"/>
      <c r="N32" s="60"/>
      <c r="O32" s="158"/>
      <c r="P32" s="158"/>
      <c r="Q32" s="158"/>
      <c r="R32" s="159"/>
      <c r="S32" s="158"/>
      <c r="T32" s="159"/>
      <c r="U32" s="160"/>
      <c r="V32" s="159"/>
      <c r="W32" s="55"/>
    </row>
    <row r="33" spans="1:23" ht="13.5" customHeight="1">
      <c r="A33" s="56">
        <v>1092</v>
      </c>
      <c r="B33" s="57"/>
      <c r="C33" s="1" t="s">
        <v>47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159">
        <f>29.9+44.7</f>
        <v>74.6</v>
      </c>
      <c r="M33" s="159"/>
      <c r="N33" s="60"/>
      <c r="O33" s="158"/>
      <c r="P33" s="158"/>
      <c r="Q33" s="158"/>
      <c r="R33" s="159"/>
      <c r="S33" s="158"/>
      <c r="T33" s="159"/>
      <c r="U33" s="160"/>
      <c r="V33" s="159"/>
      <c r="W33" s="55"/>
    </row>
    <row r="34" spans="1:23" ht="13.5" customHeight="1">
      <c r="A34" s="56">
        <v>1093</v>
      </c>
      <c r="B34" s="57"/>
      <c r="C34" s="1" t="s">
        <v>25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159">
        <f>2.9+15.5</f>
        <v>18.4</v>
      </c>
      <c r="M34" s="159"/>
      <c r="N34" s="60"/>
      <c r="O34" s="158"/>
      <c r="P34" s="158"/>
      <c r="Q34" s="158"/>
      <c r="R34" s="159"/>
      <c r="S34" s="158"/>
      <c r="T34" s="159"/>
      <c r="U34" s="160"/>
      <c r="V34" s="159"/>
      <c r="W34" s="55"/>
    </row>
    <row r="35" spans="1:23" ht="13.5" customHeight="1">
      <c r="A35" s="56">
        <v>1094</v>
      </c>
      <c r="B35" s="57"/>
      <c r="C35" s="1" t="s">
        <v>0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159">
        <f>L32+L33+L34</f>
        <v>11479.9</v>
      </c>
      <c r="M35" s="159"/>
      <c r="N35" s="60"/>
      <c r="O35" s="158"/>
      <c r="P35" s="158"/>
      <c r="Q35" s="158"/>
      <c r="R35" s="159"/>
      <c r="S35" s="158"/>
      <c r="T35" s="159"/>
      <c r="U35" s="160"/>
      <c r="V35" s="159"/>
      <c r="W35" s="55"/>
    </row>
    <row r="36" spans="1:23" ht="13.5" customHeight="1">
      <c r="A36" s="56">
        <v>1100</v>
      </c>
      <c r="B36" s="57" t="s">
        <v>44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159">
        <f>5774.7+13045.4</f>
        <v>18820.1</v>
      </c>
      <c r="M36" s="159"/>
      <c r="N36" s="60"/>
      <c r="O36" s="158"/>
      <c r="P36" s="158"/>
      <c r="Q36" s="158"/>
      <c r="R36" s="159"/>
      <c r="S36" s="158"/>
      <c r="T36" s="159"/>
      <c r="U36" s="160"/>
      <c r="V36" s="159"/>
      <c r="W36" s="55"/>
    </row>
    <row r="37" spans="1:23" ht="13.5" customHeight="1">
      <c r="A37" s="56">
        <v>1110</v>
      </c>
      <c r="B37" s="57" t="s">
        <v>15</v>
      </c>
      <c r="C37" s="1"/>
      <c r="D37" s="1"/>
      <c r="E37" s="1"/>
      <c r="F37" s="1"/>
      <c r="G37" s="1"/>
      <c r="H37" s="1"/>
      <c r="I37" s="1"/>
      <c r="J37" s="1"/>
      <c r="K37" s="58" t="s">
        <v>56</v>
      </c>
      <c r="L37" s="162">
        <f>L35/L36</f>
        <v>0.6099808183803487</v>
      </c>
      <c r="M37" s="162"/>
      <c r="N37" s="62"/>
      <c r="O37" s="158"/>
      <c r="P37" s="158"/>
      <c r="Q37" s="158"/>
      <c r="R37" s="159"/>
      <c r="S37" s="158"/>
      <c r="T37" s="159"/>
      <c r="U37" s="160"/>
      <c r="V37" s="159"/>
      <c r="W37" s="55"/>
    </row>
    <row r="38" spans="1:23" ht="11.25" customHeight="1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59"/>
      <c r="M38" s="60"/>
      <c r="N38" s="60"/>
      <c r="O38" s="158"/>
      <c r="P38" s="158"/>
      <c r="Q38" s="158"/>
      <c r="R38" s="159"/>
      <c r="S38" s="158"/>
      <c r="T38" s="159"/>
      <c r="U38" s="160"/>
      <c r="V38" s="159"/>
      <c r="W38" s="55"/>
    </row>
    <row r="39" spans="1:23" ht="13.5" customHeight="1">
      <c r="A39" s="56"/>
      <c r="B39" s="63" t="s">
        <v>62</v>
      </c>
      <c r="C39" s="1"/>
      <c r="D39" s="1"/>
      <c r="E39" s="1"/>
      <c r="F39" s="1"/>
      <c r="G39" s="1"/>
      <c r="H39" s="1"/>
      <c r="I39" s="1"/>
      <c r="J39" s="1"/>
      <c r="K39" s="58"/>
      <c r="L39" s="64"/>
      <c r="M39" s="65"/>
      <c r="N39" s="65"/>
      <c r="O39" s="64"/>
      <c r="P39" s="65"/>
      <c r="Q39" s="65"/>
      <c r="R39" s="65"/>
      <c r="S39" s="64"/>
      <c r="T39" s="65"/>
      <c r="U39" s="64"/>
      <c r="V39" s="65"/>
      <c r="W39" s="55"/>
    </row>
    <row r="40" spans="1:23" ht="13.5" customHeight="1">
      <c r="A40" s="56">
        <v>2010</v>
      </c>
      <c r="B40" s="57" t="s">
        <v>29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159">
        <f>1+82.7</f>
        <v>83.7</v>
      </c>
      <c r="M40" s="159"/>
      <c r="N40" s="60"/>
      <c r="O40" s="158"/>
      <c r="P40" s="158"/>
      <c r="Q40" s="158"/>
      <c r="R40" s="159"/>
      <c r="S40" s="158"/>
      <c r="T40" s="159"/>
      <c r="U40" s="160"/>
      <c r="V40" s="159"/>
      <c r="W40" s="55"/>
    </row>
    <row r="41" spans="1:23" ht="13.5" customHeight="1">
      <c r="A41" s="56">
        <v>2020</v>
      </c>
      <c r="B41" s="57" t="s">
        <v>51</v>
      </c>
      <c r="C41" s="1"/>
      <c r="D41" s="66"/>
      <c r="E41" s="1"/>
      <c r="F41" s="1"/>
      <c r="G41" s="1"/>
      <c r="H41" s="1"/>
      <c r="I41" s="1"/>
      <c r="J41" s="1"/>
      <c r="K41" s="58" t="s">
        <v>24</v>
      </c>
      <c r="L41" s="161">
        <f>2+36</f>
        <v>38</v>
      </c>
      <c r="M41" s="161"/>
      <c r="N41" s="60"/>
      <c r="O41" s="158"/>
      <c r="P41" s="158"/>
      <c r="Q41" s="158"/>
      <c r="R41" s="159"/>
      <c r="S41" s="158"/>
      <c r="T41" s="159"/>
      <c r="U41" s="160"/>
      <c r="V41" s="159"/>
      <c r="W41" s="55"/>
    </row>
    <row r="42" spans="1:23" ht="13.5" customHeight="1">
      <c r="A42" s="56">
        <v>2030</v>
      </c>
      <c r="B42" s="57" t="s">
        <v>34</v>
      </c>
      <c r="C42" s="1"/>
      <c r="D42" s="1"/>
      <c r="E42" s="1"/>
      <c r="F42" s="1"/>
      <c r="G42" s="1"/>
      <c r="H42" s="1"/>
      <c r="I42" s="1"/>
      <c r="J42" s="1"/>
      <c r="K42" s="58" t="s">
        <v>24</v>
      </c>
      <c r="L42" s="159">
        <f>2.5+109.5</f>
        <v>112</v>
      </c>
      <c r="M42" s="159"/>
      <c r="N42" s="60"/>
      <c r="O42" s="158"/>
      <c r="P42" s="158"/>
      <c r="Q42" s="158"/>
      <c r="R42" s="159"/>
      <c r="S42" s="158"/>
      <c r="T42" s="159"/>
      <c r="U42" s="160"/>
      <c r="V42" s="159"/>
      <c r="W42" s="55"/>
    </row>
    <row r="43" spans="1:23" ht="13.5" customHeight="1">
      <c r="A43" s="56">
        <v>2040</v>
      </c>
      <c r="B43" s="57" t="s">
        <v>71</v>
      </c>
      <c r="C43" s="1"/>
      <c r="D43" s="1"/>
      <c r="E43" s="1"/>
      <c r="F43" s="1"/>
      <c r="G43" s="1"/>
      <c r="H43" s="1"/>
      <c r="I43" s="1"/>
      <c r="J43" s="1"/>
      <c r="K43" s="58" t="s">
        <v>24</v>
      </c>
      <c r="L43" s="161">
        <f>86+5877</f>
        <v>5963</v>
      </c>
      <c r="M43" s="161"/>
      <c r="N43" s="61"/>
      <c r="O43" s="158"/>
      <c r="P43" s="158"/>
      <c r="Q43" s="158"/>
      <c r="R43" s="159"/>
      <c r="S43" s="158"/>
      <c r="T43" s="159"/>
      <c r="U43" s="160"/>
      <c r="V43" s="159"/>
      <c r="W43" s="55"/>
    </row>
    <row r="44" spans="1:23" ht="13.5" customHeight="1">
      <c r="A44" s="56">
        <v>2050</v>
      </c>
      <c r="B44" s="57" t="s">
        <v>58</v>
      </c>
      <c r="C44" s="1"/>
      <c r="D44" s="66"/>
      <c r="E44" s="1"/>
      <c r="F44" s="1"/>
      <c r="G44" s="1"/>
      <c r="H44" s="1"/>
      <c r="I44" s="1"/>
      <c r="J44" s="1"/>
      <c r="K44" s="58" t="s">
        <v>24</v>
      </c>
      <c r="L44" s="159">
        <f>0+0+0+0</f>
        <v>0</v>
      </c>
      <c r="M44" s="159"/>
      <c r="N44" s="60"/>
      <c r="O44" s="158"/>
      <c r="P44" s="158"/>
      <c r="Q44" s="158"/>
      <c r="R44" s="159"/>
      <c r="S44" s="158"/>
      <c r="T44" s="159"/>
      <c r="U44" s="160"/>
      <c r="V44" s="159"/>
      <c r="W44" s="55"/>
    </row>
    <row r="45" spans="1:23" ht="13.5" customHeight="1">
      <c r="A45" s="56">
        <v>2060</v>
      </c>
      <c r="B45" s="57" t="s">
        <v>22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159">
        <f>43.1+12637.9</f>
        <v>12681</v>
      </c>
      <c r="M45" s="159"/>
      <c r="N45" s="60"/>
      <c r="O45" s="158"/>
      <c r="P45" s="158"/>
      <c r="Q45" s="158"/>
      <c r="R45" s="159"/>
      <c r="S45" s="158"/>
      <c r="T45" s="159"/>
      <c r="U45" s="160"/>
      <c r="V45" s="159"/>
      <c r="W45" s="55"/>
    </row>
    <row r="46" spans="1:23" ht="13.5" customHeight="1">
      <c r="A46" s="56">
        <v>2070</v>
      </c>
      <c r="B46" s="57" t="s">
        <v>53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159">
        <f>111.2+14008.6</f>
        <v>14119.800000000001</v>
      </c>
      <c r="M46" s="159"/>
      <c r="N46" s="60"/>
      <c r="O46" s="158"/>
      <c r="P46" s="158"/>
      <c r="Q46" s="158"/>
      <c r="R46" s="159"/>
      <c r="S46" s="158"/>
      <c r="T46" s="159"/>
      <c r="U46" s="160"/>
      <c r="V46" s="159"/>
      <c r="W46" s="55"/>
    </row>
    <row r="47" spans="1:23" ht="13.5" customHeight="1">
      <c r="A47" s="56"/>
      <c r="B47" s="57" t="s">
        <v>13</v>
      </c>
      <c r="C47" s="1" t="s">
        <v>61</v>
      </c>
      <c r="D47" s="1"/>
      <c r="E47" s="1"/>
      <c r="F47" s="1"/>
      <c r="G47" s="1"/>
      <c r="H47" s="1"/>
      <c r="I47" s="1"/>
      <c r="J47" s="1"/>
      <c r="K47" s="58"/>
      <c r="L47" s="59"/>
      <c r="M47" s="60"/>
      <c r="N47" s="60"/>
      <c r="O47" s="158"/>
      <c r="P47" s="158"/>
      <c r="Q47" s="158"/>
      <c r="R47" s="159"/>
      <c r="S47" s="158"/>
      <c r="T47" s="159"/>
      <c r="U47" s="160"/>
      <c r="V47" s="159"/>
      <c r="W47" s="55"/>
    </row>
    <row r="48" spans="1:23" ht="13.5" customHeight="1">
      <c r="A48" s="56">
        <v>2091</v>
      </c>
      <c r="B48" s="57"/>
      <c r="C48" s="1" t="s">
        <v>54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159">
        <f>4.3+1349.8</f>
        <v>1354.1</v>
      </c>
      <c r="M48" s="159"/>
      <c r="N48" s="60"/>
      <c r="O48" s="158"/>
      <c r="P48" s="158"/>
      <c r="Q48" s="158"/>
      <c r="R48" s="159"/>
      <c r="S48" s="158"/>
      <c r="T48" s="159"/>
      <c r="U48" s="160"/>
      <c r="V48" s="159"/>
      <c r="W48" s="55"/>
    </row>
    <row r="49" spans="1:23" ht="13.5" customHeight="1">
      <c r="A49" s="56">
        <v>2092</v>
      </c>
      <c r="B49" s="57"/>
      <c r="C49" s="1" t="s">
        <v>35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159">
        <f>0+0+0+0</f>
        <v>0</v>
      </c>
      <c r="M49" s="159"/>
      <c r="N49" s="60"/>
      <c r="O49" s="158"/>
      <c r="P49" s="158"/>
      <c r="Q49" s="158"/>
      <c r="R49" s="159"/>
      <c r="S49" s="158"/>
      <c r="T49" s="159"/>
      <c r="U49" s="160"/>
      <c r="V49" s="159"/>
      <c r="W49" s="55"/>
    </row>
    <row r="50" spans="1:23" ht="13.5" customHeight="1">
      <c r="A50" s="56">
        <v>2094</v>
      </c>
      <c r="B50" s="57"/>
      <c r="C50" s="1" t="s">
        <v>26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159">
        <f>L48+L49</f>
        <v>1354.1</v>
      </c>
      <c r="M50" s="159"/>
      <c r="N50" s="60"/>
      <c r="O50" s="158"/>
      <c r="P50" s="158"/>
      <c r="Q50" s="158"/>
      <c r="R50" s="159"/>
      <c r="S50" s="158"/>
      <c r="T50" s="159"/>
      <c r="U50" s="160"/>
      <c r="V50" s="159"/>
      <c r="W50" s="55"/>
    </row>
    <row r="51" spans="1:23" ht="13.5" customHeight="1">
      <c r="A51" s="56">
        <v>2100</v>
      </c>
      <c r="B51" s="57" t="s">
        <v>31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159">
        <f>11.9+1433.3</f>
        <v>1445.2</v>
      </c>
      <c r="M51" s="159"/>
      <c r="N51" s="60"/>
      <c r="O51" s="158"/>
      <c r="P51" s="158"/>
      <c r="Q51" s="158"/>
      <c r="R51" s="159"/>
      <c r="S51" s="158"/>
      <c r="T51" s="159"/>
      <c r="U51" s="160"/>
      <c r="V51" s="159"/>
      <c r="W51" s="55"/>
    </row>
    <row r="52" spans="1:23" ht="10.5" customHeight="1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59"/>
      <c r="M52" s="60"/>
      <c r="N52" s="60"/>
      <c r="O52" s="158"/>
      <c r="P52" s="158"/>
      <c r="Q52" s="158"/>
      <c r="R52" s="159"/>
      <c r="S52" s="158"/>
      <c r="T52" s="159"/>
      <c r="U52" s="160"/>
      <c r="V52" s="159"/>
      <c r="W52" s="55"/>
    </row>
    <row r="53" spans="1:23" ht="13.5" customHeight="1">
      <c r="A53" s="56"/>
      <c r="B53" s="63" t="s">
        <v>66</v>
      </c>
      <c r="C53" s="1"/>
      <c r="D53" s="1"/>
      <c r="E53" s="1"/>
      <c r="F53" s="1"/>
      <c r="G53" s="1"/>
      <c r="H53" s="1"/>
      <c r="I53" s="1"/>
      <c r="J53" s="1"/>
      <c r="K53" s="58"/>
      <c r="L53" s="64"/>
      <c r="M53" s="65"/>
      <c r="N53" s="65"/>
      <c r="O53" s="64"/>
      <c r="P53" s="65"/>
      <c r="Q53" s="65"/>
      <c r="R53" s="65"/>
      <c r="S53" s="64"/>
      <c r="T53" s="65"/>
      <c r="U53" s="64"/>
      <c r="V53" s="65"/>
      <c r="W53" s="55"/>
    </row>
    <row r="54" spans="1:23" ht="13.5" customHeight="1">
      <c r="A54" s="56">
        <v>2330</v>
      </c>
      <c r="B54" s="57" t="s">
        <v>68</v>
      </c>
      <c r="C54" s="1"/>
      <c r="D54" s="1"/>
      <c r="E54" s="1"/>
      <c r="F54" s="1"/>
      <c r="G54" s="1"/>
      <c r="H54" s="1"/>
      <c r="I54" s="1"/>
      <c r="J54" s="1"/>
      <c r="K54" s="58" t="s">
        <v>24</v>
      </c>
      <c r="L54" s="159">
        <v>1.7</v>
      </c>
      <c r="M54" s="159"/>
      <c r="N54" s="60"/>
      <c r="O54" s="158"/>
      <c r="P54" s="158"/>
      <c r="Q54" s="158"/>
      <c r="R54" s="159"/>
      <c r="S54" s="158"/>
      <c r="T54" s="159"/>
      <c r="U54" s="160"/>
      <c r="V54" s="159"/>
      <c r="W54" s="55"/>
    </row>
    <row r="55" spans="1:23" ht="10.5" customHeight="1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72"/>
      <c r="M55" s="2"/>
      <c r="N55" s="69"/>
      <c r="O55" s="68"/>
      <c r="P55" s="2"/>
      <c r="Q55" s="2"/>
      <c r="R55" s="2"/>
      <c r="S55" s="72"/>
      <c r="T55" s="2"/>
      <c r="U55" s="72"/>
      <c r="V55" s="2"/>
      <c r="W55" s="55"/>
    </row>
    <row r="56" spans="1:23" ht="24.75" customHeight="1" thickBot="1">
      <c r="A56" s="73" t="s">
        <v>50</v>
      </c>
      <c r="B56" s="75"/>
      <c r="C56" s="77"/>
      <c r="D56" s="77"/>
      <c r="E56" s="78"/>
      <c r="F56" s="78"/>
      <c r="G56" s="78"/>
      <c r="H56" s="78"/>
      <c r="I56" s="78"/>
      <c r="J56" s="78"/>
      <c r="K56" s="79"/>
      <c r="L56" s="79"/>
      <c r="M56" s="79"/>
      <c r="N56" s="78"/>
      <c r="O56" s="78"/>
      <c r="P56" s="71"/>
      <c r="Q56" s="71"/>
      <c r="R56" s="71"/>
      <c r="S56" s="71"/>
      <c r="T56" s="71"/>
      <c r="U56" s="71"/>
      <c r="V56" s="71"/>
      <c r="W56" s="55"/>
    </row>
    <row r="57" spans="1:15" ht="12.75" customHeight="1">
      <c r="A57" s="74"/>
      <c r="B57" s="76"/>
      <c r="C57" s="74"/>
      <c r="D57" s="76"/>
      <c r="E57" s="74"/>
      <c r="F57" s="74"/>
      <c r="G57" s="74"/>
      <c r="H57" s="74"/>
      <c r="I57" s="74"/>
      <c r="J57" s="74"/>
      <c r="K57" s="80"/>
      <c r="L57" s="81"/>
      <c r="M57" s="81"/>
      <c r="N57" s="74"/>
      <c r="O57" s="74"/>
    </row>
  </sheetData>
  <sheetProtection/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showZeros="0" tabSelected="1" zoomScalePageLayoutView="0" workbookViewId="0" topLeftCell="A1">
      <selection activeCell="Z50" sqref="Z50"/>
    </sheetView>
  </sheetViews>
  <sheetFormatPr defaultColWidth="9.140625" defaultRowHeight="12.75"/>
  <cols>
    <col min="1" max="1" width="12.8515625" style="0" customWidth="1"/>
    <col min="2" max="2" width="2.57421875" style="0" customWidth="1"/>
    <col min="3" max="3" width="2.7109375" style="0" customWidth="1"/>
    <col min="4" max="5" width="4.140625" style="0" customWidth="1"/>
    <col min="6" max="6" width="6.57421875" style="0" customWidth="1"/>
    <col min="7" max="7" width="7.140625" style="0" customWidth="1"/>
    <col min="8" max="8" width="6.8515625" style="0" customWidth="1"/>
    <col min="9" max="9" width="3.421875" style="0" customWidth="1"/>
    <col min="10" max="10" width="2.8515625" style="0" customWidth="1"/>
    <col min="11" max="11" width="8.421875" style="0" customWidth="1"/>
    <col min="12" max="12" width="7.28125" style="0" customWidth="1"/>
    <col min="13" max="13" width="4.7109375" style="0" customWidth="1"/>
    <col min="14" max="14" width="1.28515625" style="0" customWidth="1"/>
    <col min="15" max="18" width="3.28125" style="0" customWidth="1"/>
    <col min="19" max="22" width="6.57421875" style="0" customWidth="1"/>
    <col min="23" max="23" width="0.71875" style="0" customWidth="1"/>
    <col min="24" max="24" width="11.7109375" style="0" bestFit="1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48</v>
      </c>
    </row>
    <row r="2" spans="1:22" ht="14.25" customHeight="1">
      <c r="A2" s="5" t="s">
        <v>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>
      <c r="A3" s="5" t="s">
        <v>7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>
      <c r="A4" s="5" t="s">
        <v>45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7" t="s">
        <v>4</v>
      </c>
      <c r="B9" s="8" t="s">
        <v>43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9</v>
      </c>
      <c r="P9" s="9"/>
      <c r="Q9" s="9"/>
      <c r="R9" s="9"/>
      <c r="S9" s="9"/>
      <c r="T9" s="9"/>
      <c r="U9" s="1"/>
      <c r="V9" s="1"/>
    </row>
    <row r="10" spans="1:22" ht="14.25" customHeight="1">
      <c r="A10" s="7" t="s">
        <v>18</v>
      </c>
      <c r="B10" s="11" t="s">
        <v>52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67</v>
      </c>
      <c r="O10" s="11" t="s">
        <v>52</v>
      </c>
      <c r="P10" s="12"/>
      <c r="Q10" s="12"/>
      <c r="R10" s="12"/>
      <c r="S10" s="12"/>
      <c r="T10" s="12"/>
      <c r="U10" s="1"/>
      <c r="V10" s="1"/>
    </row>
    <row r="11" spans="1:22" ht="14.25" customHeight="1">
      <c r="A11" s="7" t="s">
        <v>12</v>
      </c>
      <c r="B11" s="12" t="s">
        <v>30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>
      <c r="A12" s="7" t="s">
        <v>46</v>
      </c>
      <c r="B12" s="12" t="s">
        <v>19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60</v>
      </c>
      <c r="O12" s="5" t="s">
        <v>88</v>
      </c>
      <c r="P12" s="9"/>
      <c r="Q12" s="9"/>
      <c r="R12" s="9"/>
      <c r="S12" s="9"/>
      <c r="T12" s="9"/>
      <c r="U12" s="1"/>
      <c r="V12" s="1"/>
    </row>
    <row r="13" spans="1:22" ht="14.25" customHeight="1">
      <c r="A13" s="7" t="s">
        <v>40</v>
      </c>
      <c r="B13" s="12" t="s">
        <v>65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21</v>
      </c>
      <c r="O13" s="11">
        <v>2017</v>
      </c>
      <c r="P13" s="12"/>
      <c r="Q13" s="12"/>
      <c r="R13" s="12"/>
      <c r="S13" s="12"/>
      <c r="T13" s="12"/>
      <c r="U13" s="1"/>
      <c r="V13" s="1"/>
    </row>
    <row r="14" spans="1:22" ht="18" customHeight="1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</v>
      </c>
      <c r="M16" s="21"/>
      <c r="N16" s="22"/>
      <c r="O16" s="22"/>
      <c r="P16" s="22"/>
      <c r="Q16" s="22"/>
      <c r="R16" s="22"/>
      <c r="S16" s="20" t="s">
        <v>63</v>
      </c>
      <c r="T16" s="22"/>
      <c r="U16" s="22"/>
      <c r="V16" s="23"/>
    </row>
    <row r="17" spans="1:22" ht="15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28</v>
      </c>
      <c r="M17" s="29"/>
      <c r="N17" s="29"/>
      <c r="O17" s="30"/>
      <c r="P17" s="30"/>
      <c r="Q17" s="29"/>
      <c r="R17" s="29"/>
      <c r="S17" s="28" t="s">
        <v>72</v>
      </c>
      <c r="T17" s="29"/>
      <c r="U17" s="29"/>
      <c r="V17" s="31"/>
    </row>
    <row r="18" spans="1:22" ht="12.75" customHeight="1">
      <c r="A18" s="24" t="s">
        <v>42</v>
      </c>
      <c r="B18" s="25" t="s">
        <v>36</v>
      </c>
      <c r="C18" s="26"/>
      <c r="D18" s="26"/>
      <c r="E18" s="26"/>
      <c r="F18" s="26"/>
      <c r="G18" s="26"/>
      <c r="H18" s="26"/>
      <c r="I18" s="26"/>
      <c r="J18" s="26"/>
      <c r="K18" s="27" t="s">
        <v>20</v>
      </c>
      <c r="L18" s="34" t="s">
        <v>32</v>
      </c>
      <c r="M18" s="35"/>
      <c r="N18" s="35"/>
      <c r="O18" s="36"/>
      <c r="P18" s="36"/>
      <c r="Q18" s="35"/>
      <c r="R18" s="35"/>
      <c r="S18" s="34" t="s">
        <v>38</v>
      </c>
      <c r="T18" s="35"/>
      <c r="U18" s="35"/>
      <c r="V18" s="37"/>
    </row>
    <row r="19" spans="1:22" ht="15" customHeight="1">
      <c r="A19" s="24" t="s">
        <v>3</v>
      </c>
      <c r="B19" s="32"/>
      <c r="C19" s="33"/>
      <c r="D19" s="33"/>
      <c r="E19" s="33"/>
      <c r="F19" s="33"/>
      <c r="G19" s="33"/>
      <c r="H19" s="33"/>
      <c r="I19" s="33"/>
      <c r="J19" s="33"/>
      <c r="K19" s="27"/>
      <c r="L19" s="38" t="s">
        <v>10</v>
      </c>
      <c r="M19" s="39"/>
      <c r="N19" s="39"/>
      <c r="O19" s="40"/>
      <c r="P19" s="39"/>
      <c r="Q19" s="39"/>
      <c r="R19" s="39"/>
      <c r="S19" s="38" t="s">
        <v>10</v>
      </c>
      <c r="T19" s="39"/>
      <c r="U19" s="39"/>
      <c r="V19" s="41"/>
    </row>
    <row r="20" spans="1:22" ht="15" customHeight="1">
      <c r="A20" s="42"/>
      <c r="B20" s="32"/>
      <c r="C20" s="33"/>
      <c r="D20" s="33"/>
      <c r="E20" s="33"/>
      <c r="F20" s="33"/>
      <c r="G20" s="33"/>
      <c r="H20" s="33"/>
      <c r="I20" s="33"/>
      <c r="J20" s="33"/>
      <c r="K20" s="43"/>
      <c r="L20" s="38" t="s">
        <v>11</v>
      </c>
      <c r="M20" s="38"/>
      <c r="N20" s="38"/>
      <c r="O20" s="38" t="s">
        <v>69</v>
      </c>
      <c r="P20" s="38"/>
      <c r="Q20" s="38"/>
      <c r="R20" s="38"/>
      <c r="S20" s="38" t="s">
        <v>11</v>
      </c>
      <c r="T20" s="40"/>
      <c r="U20" s="38" t="s">
        <v>69</v>
      </c>
      <c r="V20" s="44"/>
    </row>
    <row r="21" spans="1:22" ht="12" customHeight="1">
      <c r="A21" s="45"/>
      <c r="B21" s="38" t="s">
        <v>57</v>
      </c>
      <c r="C21" s="48"/>
      <c r="D21" s="48"/>
      <c r="E21" s="48"/>
      <c r="F21" s="48"/>
      <c r="G21" s="48"/>
      <c r="H21" s="48"/>
      <c r="I21" s="48"/>
      <c r="J21" s="48"/>
      <c r="K21" s="50" t="s">
        <v>39</v>
      </c>
      <c r="L21" s="38" t="s">
        <v>23</v>
      </c>
      <c r="M21" s="48"/>
      <c r="N21" s="48"/>
      <c r="O21" s="38" t="s">
        <v>1</v>
      </c>
      <c r="P21" s="48"/>
      <c r="Q21" s="48"/>
      <c r="R21" s="48"/>
      <c r="S21" s="38" t="s">
        <v>55</v>
      </c>
      <c r="T21" s="48"/>
      <c r="U21" s="38" t="s">
        <v>37</v>
      </c>
      <c r="V21" s="41"/>
    </row>
    <row r="22" spans="1:23" ht="21.75" customHeight="1">
      <c r="A22" s="46"/>
      <c r="B22" s="47" t="s">
        <v>70</v>
      </c>
      <c r="C22" s="49"/>
      <c r="D22" s="49"/>
      <c r="E22" s="14"/>
      <c r="F22" s="14"/>
      <c r="G22" s="14"/>
      <c r="H22" s="14"/>
      <c r="I22" s="14"/>
      <c r="J22" s="49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3" ht="14.25" customHeight="1">
      <c r="A23" s="56">
        <v>1010</v>
      </c>
      <c r="B23" s="57" t="s">
        <v>49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159">
        <f>4620.3+11319.4+3</f>
        <v>15942.7</v>
      </c>
      <c r="M23" s="159"/>
      <c r="N23" s="60"/>
      <c r="O23" s="158"/>
      <c r="P23" s="158"/>
      <c r="Q23" s="158"/>
      <c r="R23" s="159"/>
      <c r="S23" s="158"/>
      <c r="T23" s="159"/>
      <c r="U23" s="160"/>
      <c r="V23" s="159"/>
      <c r="W23" s="55"/>
    </row>
    <row r="24" spans="1:23" ht="13.5" customHeight="1">
      <c r="A24" s="56">
        <v>1020</v>
      </c>
      <c r="B24" s="57" t="s">
        <v>59</v>
      </c>
      <c r="C24" s="1"/>
      <c r="D24" s="1"/>
      <c r="E24" s="1"/>
      <c r="F24" s="1"/>
      <c r="G24" s="1"/>
      <c r="H24" s="1"/>
      <c r="I24" s="1"/>
      <c r="J24" s="1"/>
      <c r="K24" s="58" t="s">
        <v>24</v>
      </c>
      <c r="L24" s="161">
        <f>3642+7101+4</f>
        <v>10747</v>
      </c>
      <c r="M24" s="161"/>
      <c r="N24" s="61"/>
      <c r="O24" s="163"/>
      <c r="P24" s="163"/>
      <c r="Q24" s="163"/>
      <c r="R24" s="161"/>
      <c r="S24" s="163"/>
      <c r="T24" s="161"/>
      <c r="U24" s="164"/>
      <c r="V24" s="161"/>
      <c r="W24" s="55"/>
    </row>
    <row r="25" spans="1:23" ht="13.5" customHeight="1">
      <c r="A25" s="56">
        <v>1030</v>
      </c>
      <c r="B25" s="57" t="s">
        <v>16</v>
      </c>
      <c r="C25" s="1"/>
      <c r="D25" s="1"/>
      <c r="E25" s="1"/>
      <c r="F25" s="1"/>
      <c r="G25" s="1"/>
      <c r="H25" s="1"/>
      <c r="I25" s="1"/>
      <c r="J25" s="1"/>
      <c r="K25" s="58" t="s">
        <v>24</v>
      </c>
      <c r="L25" s="159">
        <f>6530.9+15318+3.9</f>
        <v>21852.800000000003</v>
      </c>
      <c r="M25" s="159"/>
      <c r="N25" s="60"/>
      <c r="O25" s="158"/>
      <c r="P25" s="158"/>
      <c r="Q25" s="158"/>
      <c r="R25" s="159"/>
      <c r="S25" s="158"/>
      <c r="T25" s="159"/>
      <c r="U25" s="160"/>
      <c r="V25" s="159"/>
      <c r="W25" s="55"/>
    </row>
    <row r="26" spans="1:23" ht="13.5" customHeight="1">
      <c r="A26" s="56">
        <v>1040</v>
      </c>
      <c r="B26" s="57" t="s">
        <v>27</v>
      </c>
      <c r="C26" s="1"/>
      <c r="D26" s="1"/>
      <c r="E26" s="1"/>
      <c r="F26" s="1"/>
      <c r="G26" s="1"/>
      <c r="H26" s="1"/>
      <c r="I26" s="1"/>
      <c r="J26" s="1"/>
      <c r="K26" s="58" t="s">
        <v>24</v>
      </c>
      <c r="L26" s="161">
        <f>450796+622229+351</f>
        <v>1073376</v>
      </c>
      <c r="M26" s="161"/>
      <c r="N26" s="61"/>
      <c r="O26" s="158"/>
      <c r="P26" s="158"/>
      <c r="Q26" s="158"/>
      <c r="R26" s="159"/>
      <c r="S26" s="158"/>
      <c r="T26" s="159"/>
      <c r="U26" s="160"/>
      <c r="V26" s="159"/>
      <c r="W26" s="55"/>
    </row>
    <row r="27" spans="1:23" ht="13.5" customHeight="1">
      <c r="A27" s="56">
        <v>1050</v>
      </c>
      <c r="B27" s="57" t="s">
        <v>8</v>
      </c>
      <c r="C27" s="1"/>
      <c r="D27" s="1"/>
      <c r="E27" s="1"/>
      <c r="F27" s="1"/>
      <c r="G27" s="1"/>
      <c r="H27" s="1"/>
      <c r="I27" s="1"/>
      <c r="J27" s="1"/>
      <c r="K27" s="58" t="s">
        <v>24</v>
      </c>
      <c r="L27" s="159">
        <f>144.036+209.891+20.5+65.1+0.005</f>
        <v>439.53200000000004</v>
      </c>
      <c r="M27" s="159"/>
      <c r="N27" s="60"/>
      <c r="O27" s="158"/>
      <c r="P27" s="158"/>
      <c r="Q27" s="158"/>
      <c r="R27" s="159"/>
      <c r="S27" s="158"/>
      <c r="T27" s="159"/>
      <c r="U27" s="160"/>
      <c r="V27" s="159"/>
      <c r="W27" s="55"/>
    </row>
    <row r="28" spans="1:24" ht="13.5" customHeight="1">
      <c r="A28" s="56">
        <v>1060</v>
      </c>
      <c r="B28" s="57" t="s">
        <v>64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159">
        <f>559643.2+1039657.7+7.3</f>
        <v>1599308.2</v>
      </c>
      <c r="M28" s="159"/>
      <c r="N28" s="60"/>
      <c r="O28" s="158"/>
      <c r="P28" s="158"/>
      <c r="Q28" s="158"/>
      <c r="R28" s="159"/>
      <c r="S28" s="158"/>
      <c r="T28" s="159"/>
      <c r="U28" s="160"/>
      <c r="V28" s="159"/>
      <c r="W28" s="55"/>
      <c r="X28" s="176"/>
    </row>
    <row r="29" spans="1:23" ht="13.5" customHeight="1">
      <c r="A29" s="56">
        <v>1070</v>
      </c>
      <c r="B29" s="57" t="s">
        <v>41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159">
        <f>694610.9+1426722.3+0.3</f>
        <v>2121333.5</v>
      </c>
      <c r="M29" s="159"/>
      <c r="N29" s="60"/>
      <c r="O29" s="158"/>
      <c r="P29" s="158"/>
      <c r="Q29" s="158"/>
      <c r="R29" s="159"/>
      <c r="S29" s="158"/>
      <c r="T29" s="159"/>
      <c r="U29" s="160"/>
      <c r="V29" s="159"/>
      <c r="W29" s="55"/>
    </row>
    <row r="30" spans="1:23" ht="13.5" customHeight="1">
      <c r="A30" s="56">
        <v>1080</v>
      </c>
      <c r="B30" s="57" t="s">
        <v>14</v>
      </c>
      <c r="C30" s="1"/>
      <c r="D30" s="1"/>
      <c r="E30" s="1"/>
      <c r="F30" s="1"/>
      <c r="G30" s="1"/>
      <c r="H30" s="1"/>
      <c r="I30" s="1"/>
      <c r="J30" s="1"/>
      <c r="K30" s="58" t="s">
        <v>56</v>
      </c>
      <c r="L30" s="162">
        <f>L28/L29</f>
        <v>0.7539164398242898</v>
      </c>
      <c r="M30" s="162"/>
      <c r="N30" s="62"/>
      <c r="O30" s="158"/>
      <c r="P30" s="158"/>
      <c r="Q30" s="158"/>
      <c r="R30" s="159"/>
      <c r="S30" s="158"/>
      <c r="T30" s="159"/>
      <c r="U30" s="160"/>
      <c r="V30" s="159"/>
      <c r="W30" s="55"/>
    </row>
    <row r="31" spans="1:23" ht="13.5" customHeight="1">
      <c r="A31" s="56"/>
      <c r="B31" s="57" t="s">
        <v>33</v>
      </c>
      <c r="C31" s="1"/>
      <c r="D31" s="1"/>
      <c r="E31" s="1"/>
      <c r="F31" s="1"/>
      <c r="G31" s="1"/>
      <c r="H31" s="1"/>
      <c r="I31" s="1"/>
      <c r="J31" s="1"/>
      <c r="K31" s="58"/>
      <c r="L31" s="59"/>
      <c r="M31" s="60"/>
      <c r="N31" s="60"/>
      <c r="O31" s="158"/>
      <c r="P31" s="158"/>
      <c r="Q31" s="158"/>
      <c r="R31" s="159"/>
      <c r="S31" s="158"/>
      <c r="T31" s="159"/>
      <c r="U31" s="160"/>
      <c r="V31" s="159"/>
      <c r="W31" s="55"/>
    </row>
    <row r="32" spans="1:23" ht="13.5" customHeight="1">
      <c r="A32" s="56">
        <v>1091</v>
      </c>
      <c r="B32" s="57"/>
      <c r="C32" s="1" t="s">
        <v>54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159">
        <f>55913.3+104066.1+0.8</f>
        <v>159980.2</v>
      </c>
      <c r="M32" s="159"/>
      <c r="N32" s="60"/>
      <c r="O32" s="158"/>
      <c r="P32" s="158"/>
      <c r="Q32" s="158"/>
      <c r="R32" s="159"/>
      <c r="S32" s="158"/>
      <c r="T32" s="159"/>
      <c r="U32" s="160"/>
      <c r="V32" s="159"/>
      <c r="W32" s="55"/>
    </row>
    <row r="33" spans="1:23" ht="13.5" customHeight="1">
      <c r="A33" s="56">
        <v>1092</v>
      </c>
      <c r="B33" s="57"/>
      <c r="C33" s="1" t="s">
        <v>47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159">
        <f>171.3+367</f>
        <v>538.3</v>
      </c>
      <c r="M33" s="159"/>
      <c r="N33" s="60"/>
      <c r="O33" s="158"/>
      <c r="P33" s="158"/>
      <c r="Q33" s="158"/>
      <c r="R33" s="159"/>
      <c r="S33" s="158"/>
      <c r="T33" s="159"/>
      <c r="U33" s="160"/>
      <c r="V33" s="159"/>
      <c r="W33" s="55"/>
    </row>
    <row r="34" spans="1:23" ht="13.5" customHeight="1">
      <c r="A34" s="56">
        <v>1093</v>
      </c>
      <c r="B34" s="57"/>
      <c r="C34" s="1" t="s">
        <v>25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159">
        <f>24+94+0.2</f>
        <v>118.2</v>
      </c>
      <c r="M34" s="159"/>
      <c r="N34" s="60"/>
      <c r="O34" s="158"/>
      <c r="P34" s="158"/>
      <c r="Q34" s="158"/>
      <c r="R34" s="159"/>
      <c r="S34" s="158"/>
      <c r="T34" s="159"/>
      <c r="U34" s="160"/>
      <c r="V34" s="159"/>
      <c r="W34" s="55"/>
    </row>
    <row r="35" spans="1:23" ht="13.5" customHeight="1">
      <c r="A35" s="56">
        <v>1094</v>
      </c>
      <c r="B35" s="57"/>
      <c r="C35" s="1" t="s">
        <v>0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159">
        <f>L32+L33+L34</f>
        <v>160636.7</v>
      </c>
      <c r="M35" s="159"/>
      <c r="N35" s="60"/>
      <c r="O35" s="158"/>
      <c r="P35" s="158"/>
      <c r="Q35" s="158"/>
      <c r="R35" s="159"/>
      <c r="S35" s="158"/>
      <c r="T35" s="159"/>
      <c r="U35" s="160"/>
      <c r="V35" s="159"/>
      <c r="W35" s="55"/>
    </row>
    <row r="36" spans="1:23" ht="13.5" customHeight="1">
      <c r="A36" s="56">
        <v>1100</v>
      </c>
      <c r="B36" s="57" t="s">
        <v>44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159">
        <f>75360.2+161042.8+0.3</f>
        <v>236403.3</v>
      </c>
      <c r="M36" s="159"/>
      <c r="N36" s="60"/>
      <c r="O36" s="158"/>
      <c r="P36" s="158"/>
      <c r="Q36" s="158"/>
      <c r="R36" s="159"/>
      <c r="S36" s="158"/>
      <c r="T36" s="159"/>
      <c r="U36" s="160"/>
      <c r="V36" s="159"/>
      <c r="W36" s="55"/>
    </row>
    <row r="37" spans="1:23" ht="13.5" customHeight="1">
      <c r="A37" s="56">
        <v>1110</v>
      </c>
      <c r="B37" s="57" t="s">
        <v>15</v>
      </c>
      <c r="C37" s="1"/>
      <c r="D37" s="1"/>
      <c r="E37" s="1"/>
      <c r="F37" s="1"/>
      <c r="G37" s="1"/>
      <c r="H37" s="1"/>
      <c r="I37" s="1"/>
      <c r="J37" s="1"/>
      <c r="K37" s="58" t="s">
        <v>56</v>
      </c>
      <c r="L37" s="162">
        <f>L35/L36</f>
        <v>0.6795027818985607</v>
      </c>
      <c r="M37" s="162"/>
      <c r="N37" s="62"/>
      <c r="O37" s="158"/>
      <c r="P37" s="158"/>
      <c r="Q37" s="158"/>
      <c r="R37" s="159"/>
      <c r="S37" s="158"/>
      <c r="T37" s="159"/>
      <c r="U37" s="160"/>
      <c r="V37" s="159"/>
      <c r="W37" s="55"/>
    </row>
    <row r="38" spans="1:23" ht="11.25" customHeight="1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59"/>
      <c r="M38" s="60"/>
      <c r="N38" s="60"/>
      <c r="O38" s="158"/>
      <c r="P38" s="158"/>
      <c r="Q38" s="158"/>
      <c r="R38" s="159"/>
      <c r="S38" s="158"/>
      <c r="T38" s="159"/>
      <c r="U38" s="160"/>
      <c r="V38" s="159"/>
      <c r="W38" s="55"/>
    </row>
    <row r="39" spans="1:23" ht="13.5" customHeight="1">
      <c r="A39" s="56"/>
      <c r="B39" s="63" t="s">
        <v>62</v>
      </c>
      <c r="C39" s="1"/>
      <c r="D39" s="1"/>
      <c r="E39" s="1"/>
      <c r="F39" s="1"/>
      <c r="G39" s="1"/>
      <c r="H39" s="1"/>
      <c r="I39" s="1"/>
      <c r="J39" s="1"/>
      <c r="K39" s="58"/>
      <c r="L39" s="64"/>
      <c r="M39" s="65"/>
      <c r="N39" s="65"/>
      <c r="O39" s="64"/>
      <c r="P39" s="65"/>
      <c r="Q39" s="65"/>
      <c r="R39" s="65"/>
      <c r="S39" s="64"/>
      <c r="T39" s="65"/>
      <c r="U39" s="64"/>
      <c r="V39" s="65"/>
      <c r="W39" s="55"/>
    </row>
    <row r="40" spans="1:24" ht="13.5" customHeight="1">
      <c r="A40" s="56">
        <v>2010</v>
      </c>
      <c r="B40" s="57" t="s">
        <v>29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159">
        <f>20.5+559.4-0.9</f>
        <v>579</v>
      </c>
      <c r="M40" s="159"/>
      <c r="N40" s="60"/>
      <c r="O40" s="158"/>
      <c r="P40" s="158"/>
      <c r="Q40" s="158"/>
      <c r="R40" s="159"/>
      <c r="S40" s="158"/>
      <c r="T40" s="159"/>
      <c r="U40" s="160"/>
      <c r="V40" s="159"/>
      <c r="W40" s="55"/>
      <c r="X40" s="176"/>
    </row>
    <row r="41" spans="1:23" ht="13.5" customHeight="1">
      <c r="A41" s="56">
        <v>2020</v>
      </c>
      <c r="B41" s="57" t="s">
        <v>51</v>
      </c>
      <c r="C41" s="1"/>
      <c r="D41" s="66"/>
      <c r="E41" s="1"/>
      <c r="F41" s="1"/>
      <c r="G41" s="1"/>
      <c r="H41" s="1"/>
      <c r="I41" s="1"/>
      <c r="J41" s="1"/>
      <c r="K41" s="58" t="s">
        <v>24</v>
      </c>
      <c r="L41" s="161">
        <f>19+411+4.4</f>
        <v>434.4</v>
      </c>
      <c r="M41" s="161"/>
      <c r="N41" s="60"/>
      <c r="O41" s="158"/>
      <c r="P41" s="158"/>
      <c r="Q41" s="158"/>
      <c r="R41" s="159"/>
      <c r="S41" s="158"/>
      <c r="T41" s="159"/>
      <c r="U41" s="160"/>
      <c r="V41" s="159"/>
      <c r="W41" s="55"/>
    </row>
    <row r="42" spans="1:23" ht="13.5" customHeight="1">
      <c r="A42" s="56">
        <v>2030</v>
      </c>
      <c r="B42" s="57" t="s">
        <v>34</v>
      </c>
      <c r="C42" s="1"/>
      <c r="D42" s="1"/>
      <c r="E42" s="1"/>
      <c r="F42" s="1"/>
      <c r="G42" s="1"/>
      <c r="H42" s="1"/>
      <c r="I42" s="1"/>
      <c r="J42" s="1"/>
      <c r="K42" s="58" t="s">
        <v>24</v>
      </c>
      <c r="L42" s="159">
        <f>32.2+777.4+15.4</f>
        <v>825</v>
      </c>
      <c r="M42" s="159"/>
      <c r="N42" s="60"/>
      <c r="O42" s="158"/>
      <c r="P42" s="158"/>
      <c r="Q42" s="158"/>
      <c r="R42" s="159"/>
      <c r="S42" s="158"/>
      <c r="T42" s="159"/>
      <c r="U42" s="160"/>
      <c r="V42" s="159"/>
      <c r="W42" s="55"/>
    </row>
    <row r="43" spans="1:23" ht="13.5" customHeight="1">
      <c r="A43" s="56">
        <v>2040</v>
      </c>
      <c r="B43" s="57" t="s">
        <v>71</v>
      </c>
      <c r="C43" s="1"/>
      <c r="D43" s="1"/>
      <c r="E43" s="1"/>
      <c r="F43" s="1"/>
      <c r="G43" s="1"/>
      <c r="H43" s="1"/>
      <c r="I43" s="1"/>
      <c r="J43" s="1"/>
      <c r="K43" s="58" t="s">
        <v>24</v>
      </c>
      <c r="L43" s="161">
        <f>443+61148-26</f>
        <v>61565</v>
      </c>
      <c r="M43" s="161"/>
      <c r="N43" s="61"/>
      <c r="O43" s="158"/>
      <c r="P43" s="158"/>
      <c r="Q43" s="158"/>
      <c r="R43" s="159"/>
      <c r="S43" s="158"/>
      <c r="T43" s="159"/>
      <c r="U43" s="160"/>
      <c r="V43" s="159"/>
      <c r="W43" s="55"/>
    </row>
    <row r="44" spans="1:23" ht="13.5" customHeight="1">
      <c r="A44" s="56">
        <v>2050</v>
      </c>
      <c r="B44" s="57" t="s">
        <v>58</v>
      </c>
      <c r="C44" s="1"/>
      <c r="D44" s="66"/>
      <c r="E44" s="1"/>
      <c r="F44" s="1"/>
      <c r="G44" s="1"/>
      <c r="H44" s="1"/>
      <c r="I44" s="1"/>
      <c r="J44" s="1"/>
      <c r="K44" s="58" t="s">
        <v>24</v>
      </c>
      <c r="L44" s="159">
        <f>0+0.899+0+0</f>
        <v>0.899</v>
      </c>
      <c r="M44" s="159"/>
      <c r="N44" s="60"/>
      <c r="O44" s="158"/>
      <c r="P44" s="158"/>
      <c r="Q44" s="158"/>
      <c r="R44" s="159"/>
      <c r="S44" s="158"/>
      <c r="T44" s="159"/>
      <c r="U44" s="160"/>
      <c r="V44" s="159"/>
      <c r="W44" s="55"/>
    </row>
    <row r="45" spans="1:23" ht="13.5" customHeight="1">
      <c r="A45" s="56">
        <v>2060</v>
      </c>
      <c r="B45" s="57" t="s">
        <v>22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159">
        <f>457.3+83246.9+696</f>
        <v>84400.2</v>
      </c>
      <c r="M45" s="159"/>
      <c r="N45" s="60"/>
      <c r="O45" s="158"/>
      <c r="P45" s="158"/>
      <c r="Q45" s="158"/>
      <c r="R45" s="159"/>
      <c r="S45" s="158"/>
      <c r="T45" s="159"/>
      <c r="U45" s="160"/>
      <c r="V45" s="159"/>
      <c r="W45" s="55"/>
    </row>
    <row r="46" spans="1:23" ht="13.5" customHeight="1">
      <c r="A46" s="56">
        <v>2070</v>
      </c>
      <c r="B46" s="57" t="s">
        <v>53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159">
        <f>2522.9+94307.6-726.1</f>
        <v>96104.4</v>
      </c>
      <c r="M46" s="159"/>
      <c r="N46" s="60"/>
      <c r="O46" s="158"/>
      <c r="P46" s="158"/>
      <c r="Q46" s="158"/>
      <c r="R46" s="159"/>
      <c r="S46" s="158"/>
      <c r="T46" s="159"/>
      <c r="U46" s="160"/>
      <c r="V46" s="159"/>
      <c r="W46" s="55"/>
    </row>
    <row r="47" spans="1:23" ht="13.5" customHeight="1">
      <c r="A47" s="56"/>
      <c r="B47" s="57" t="s">
        <v>13</v>
      </c>
      <c r="C47" s="1" t="s">
        <v>61</v>
      </c>
      <c r="D47" s="1"/>
      <c r="E47" s="1"/>
      <c r="F47" s="1"/>
      <c r="G47" s="1"/>
      <c r="H47" s="1"/>
      <c r="I47" s="1"/>
      <c r="J47" s="1"/>
      <c r="K47" s="58"/>
      <c r="L47" s="59"/>
      <c r="M47" s="60"/>
      <c r="N47" s="60"/>
      <c r="O47" s="158"/>
      <c r="P47" s="158"/>
      <c r="Q47" s="158"/>
      <c r="R47" s="159"/>
      <c r="S47" s="158"/>
      <c r="T47" s="159"/>
      <c r="U47" s="160"/>
      <c r="V47" s="159"/>
      <c r="W47" s="55"/>
    </row>
    <row r="48" spans="1:23" ht="13.5" customHeight="1">
      <c r="A48" s="56">
        <v>2091</v>
      </c>
      <c r="B48" s="57"/>
      <c r="C48" s="1" t="s">
        <v>54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159">
        <f>46.5+8412.6</f>
        <v>8459.1</v>
      </c>
      <c r="M48" s="159"/>
      <c r="N48" s="60"/>
      <c r="O48" s="158"/>
      <c r="P48" s="158"/>
      <c r="Q48" s="158"/>
      <c r="R48" s="159"/>
      <c r="S48" s="158"/>
      <c r="T48" s="159"/>
      <c r="U48" s="160"/>
      <c r="V48" s="159"/>
      <c r="W48" s="55"/>
    </row>
    <row r="49" spans="1:23" ht="13.5" customHeight="1">
      <c r="A49" s="56">
        <v>2092</v>
      </c>
      <c r="B49" s="57"/>
      <c r="C49" s="1" t="s">
        <v>35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159">
        <f>0+1+0+0</f>
        <v>1</v>
      </c>
      <c r="M49" s="159"/>
      <c r="N49" s="60"/>
      <c r="O49" s="158"/>
      <c r="P49" s="158"/>
      <c r="Q49" s="158"/>
      <c r="R49" s="159"/>
      <c r="S49" s="158"/>
      <c r="T49" s="159"/>
      <c r="U49" s="160"/>
      <c r="V49" s="159"/>
      <c r="W49" s="55"/>
    </row>
    <row r="50" spans="1:23" ht="13.5" customHeight="1">
      <c r="A50" s="56">
        <v>2094</v>
      </c>
      <c r="B50" s="57"/>
      <c r="C50" s="1" t="s">
        <v>26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159">
        <f>L48+L49+79</f>
        <v>8539.1</v>
      </c>
      <c r="M50" s="159"/>
      <c r="N50" s="60"/>
      <c r="O50" s="158"/>
      <c r="P50" s="158"/>
      <c r="Q50" s="158"/>
      <c r="R50" s="159"/>
      <c r="S50" s="158"/>
      <c r="T50" s="159"/>
      <c r="U50" s="160"/>
      <c r="V50" s="159"/>
      <c r="W50" s="55"/>
    </row>
    <row r="51" spans="1:23" ht="13.5" customHeight="1">
      <c r="A51" s="56">
        <v>2100</v>
      </c>
      <c r="B51" s="57" t="s">
        <v>31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159">
        <f>266.7+9718.8-82.2</f>
        <v>9903.3</v>
      </c>
      <c r="M51" s="159"/>
      <c r="N51" s="60"/>
      <c r="O51" s="158"/>
      <c r="P51" s="158"/>
      <c r="Q51" s="158"/>
      <c r="R51" s="159"/>
      <c r="S51" s="158"/>
      <c r="T51" s="159"/>
      <c r="U51" s="160"/>
      <c r="V51" s="159"/>
      <c r="W51" s="55"/>
    </row>
    <row r="52" spans="1:23" ht="10.5" customHeight="1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59"/>
      <c r="M52" s="60"/>
      <c r="N52" s="60"/>
      <c r="O52" s="158"/>
      <c r="P52" s="158"/>
      <c r="Q52" s="158"/>
      <c r="R52" s="159"/>
      <c r="S52" s="158"/>
      <c r="T52" s="159"/>
      <c r="U52" s="160"/>
      <c r="V52" s="159"/>
      <c r="W52" s="55"/>
    </row>
    <row r="53" spans="1:23" ht="13.5" customHeight="1">
      <c r="A53" s="56"/>
      <c r="B53" s="63" t="s">
        <v>66</v>
      </c>
      <c r="C53" s="1"/>
      <c r="D53" s="1"/>
      <c r="E53" s="1"/>
      <c r="F53" s="1"/>
      <c r="G53" s="1"/>
      <c r="H53" s="1"/>
      <c r="I53" s="1"/>
      <c r="J53" s="1"/>
      <c r="K53" s="58"/>
      <c r="L53" s="64"/>
      <c r="M53" s="65"/>
      <c r="N53" s="65"/>
      <c r="O53" s="64"/>
      <c r="P53" s="65"/>
      <c r="Q53" s="65"/>
      <c r="R53" s="65"/>
      <c r="S53" s="64"/>
      <c r="T53" s="65"/>
      <c r="U53" s="64"/>
      <c r="V53" s="65"/>
      <c r="W53" s="55"/>
    </row>
    <row r="54" spans="1:23" ht="13.5" customHeight="1">
      <c r="A54" s="56">
        <v>2330</v>
      </c>
      <c r="B54" s="57" t="s">
        <v>68</v>
      </c>
      <c r="C54" s="1"/>
      <c r="D54" s="1"/>
      <c r="E54" s="1"/>
      <c r="F54" s="1"/>
      <c r="G54" s="1"/>
      <c r="H54" s="1"/>
      <c r="I54" s="1"/>
      <c r="J54" s="1"/>
      <c r="K54" s="58" t="s">
        <v>24</v>
      </c>
      <c r="L54" s="159">
        <v>85.7</v>
      </c>
      <c r="M54" s="159"/>
      <c r="N54" s="60"/>
      <c r="O54" s="158"/>
      <c r="P54" s="158"/>
      <c r="Q54" s="158"/>
      <c r="R54" s="159"/>
      <c r="S54" s="158"/>
      <c r="T54" s="159"/>
      <c r="U54" s="160"/>
      <c r="V54" s="159"/>
      <c r="W54" s="55"/>
    </row>
    <row r="55" spans="1:23" ht="10.5" customHeight="1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72"/>
      <c r="M55" s="2"/>
      <c r="N55" s="69"/>
      <c r="O55" s="68"/>
      <c r="P55" s="2"/>
      <c r="Q55" s="2"/>
      <c r="R55" s="2"/>
      <c r="S55" s="72"/>
      <c r="T55" s="2"/>
      <c r="U55" s="72"/>
      <c r="V55" s="2"/>
      <c r="W55" s="55"/>
    </row>
    <row r="56" spans="1:23" ht="24.75" customHeight="1" thickBot="1">
      <c r="A56" s="73" t="s">
        <v>50</v>
      </c>
      <c r="B56" s="75"/>
      <c r="C56" s="77"/>
      <c r="D56" s="77"/>
      <c r="E56" s="78"/>
      <c r="F56" s="78"/>
      <c r="G56" s="78"/>
      <c r="H56" s="78"/>
      <c r="I56" s="78"/>
      <c r="J56" s="78"/>
      <c r="K56" s="79"/>
      <c r="L56" s="79"/>
      <c r="M56" s="79"/>
      <c r="N56" s="78"/>
      <c r="O56" s="78"/>
      <c r="P56" s="71"/>
      <c r="Q56" s="71"/>
      <c r="R56" s="71"/>
      <c r="S56" s="71"/>
      <c r="T56" s="71"/>
      <c r="U56" s="71"/>
      <c r="V56" s="71"/>
      <c r="W56" s="55"/>
    </row>
    <row r="57" spans="1:15" ht="12.75" customHeight="1">
      <c r="A57" s="74"/>
      <c r="B57" s="76"/>
      <c r="C57" s="74"/>
      <c r="D57" s="76"/>
      <c r="E57" s="74"/>
      <c r="F57" s="74"/>
      <c r="G57" s="74"/>
      <c r="H57" s="74"/>
      <c r="I57" s="74"/>
      <c r="J57" s="74"/>
      <c r="K57" s="80"/>
      <c r="L57" s="81"/>
      <c r="M57" s="81"/>
      <c r="N57" s="74"/>
      <c r="O57" s="74"/>
    </row>
  </sheetData>
  <sheetProtection/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showZeros="0" zoomScalePageLayoutView="0" workbookViewId="0" topLeftCell="A13">
      <selection activeCell="X52" sqref="X52"/>
    </sheetView>
  </sheetViews>
  <sheetFormatPr defaultColWidth="9.140625" defaultRowHeight="12.75"/>
  <cols>
    <col min="1" max="1" width="12.8515625" style="0" customWidth="1"/>
    <col min="2" max="2" width="2.57421875" style="0" customWidth="1"/>
    <col min="3" max="3" width="2.7109375" style="0" customWidth="1"/>
    <col min="4" max="5" width="4.140625" style="0" customWidth="1"/>
    <col min="6" max="6" width="6.57421875" style="0" customWidth="1"/>
    <col min="7" max="7" width="7.140625" style="0" customWidth="1"/>
    <col min="8" max="8" width="6.8515625" style="0" customWidth="1"/>
    <col min="9" max="9" width="3.421875" style="0" customWidth="1"/>
    <col min="10" max="10" width="2.8515625" style="0" customWidth="1"/>
    <col min="11" max="11" width="8.421875" style="0" customWidth="1"/>
    <col min="12" max="12" width="7.28125" style="0" customWidth="1"/>
    <col min="13" max="13" width="4.7109375" style="0" customWidth="1"/>
    <col min="14" max="14" width="1.28515625" style="0" customWidth="1"/>
    <col min="15" max="18" width="3.28125" style="0" customWidth="1"/>
    <col min="19" max="22" width="6.57421875" style="0" customWidth="1"/>
    <col min="23" max="23" width="0.7187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48</v>
      </c>
    </row>
    <row r="2" spans="1:22" ht="14.25" customHeight="1">
      <c r="A2" s="5" t="s">
        <v>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>
      <c r="A3" s="5" t="s">
        <v>7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>
      <c r="A4" s="5" t="s">
        <v>45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7" t="s">
        <v>4</v>
      </c>
      <c r="B9" s="8" t="s">
        <v>43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9</v>
      </c>
      <c r="P9" s="9"/>
      <c r="Q9" s="9"/>
      <c r="R9" s="9"/>
      <c r="S9" s="9"/>
      <c r="T9" s="9"/>
      <c r="U9" s="1"/>
      <c r="V9" s="1"/>
    </row>
    <row r="10" spans="1:22" ht="14.25" customHeight="1">
      <c r="A10" s="7" t="s">
        <v>18</v>
      </c>
      <c r="B10" s="11" t="s">
        <v>52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67</v>
      </c>
      <c r="O10" s="11" t="s">
        <v>52</v>
      </c>
      <c r="P10" s="12"/>
      <c r="Q10" s="12"/>
      <c r="R10" s="12"/>
      <c r="S10" s="12"/>
      <c r="T10" s="12"/>
      <c r="U10" s="1"/>
      <c r="V10" s="1"/>
    </row>
    <row r="11" spans="1:22" ht="14.25" customHeight="1">
      <c r="A11" s="7" t="s">
        <v>12</v>
      </c>
      <c r="B11" s="12" t="s">
        <v>30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>
      <c r="A12" s="7" t="s">
        <v>46</v>
      </c>
      <c r="B12" s="12" t="s">
        <v>19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60</v>
      </c>
      <c r="O12" s="5" t="s">
        <v>73</v>
      </c>
      <c r="P12" s="9"/>
      <c r="Q12" s="9"/>
      <c r="R12" s="9"/>
      <c r="S12" s="9"/>
      <c r="T12" s="9"/>
      <c r="U12" s="1"/>
      <c r="V12" s="1"/>
    </row>
    <row r="13" spans="1:22" ht="14.25" customHeight="1">
      <c r="A13" s="7" t="s">
        <v>40</v>
      </c>
      <c r="B13" s="12" t="s">
        <v>65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21</v>
      </c>
      <c r="O13" s="11">
        <v>2017</v>
      </c>
      <c r="P13" s="12"/>
      <c r="Q13" s="12"/>
      <c r="R13" s="12"/>
      <c r="S13" s="12"/>
      <c r="T13" s="12"/>
      <c r="U13" s="1"/>
      <c r="V13" s="1"/>
    </row>
    <row r="14" spans="1:22" ht="18" customHeight="1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</v>
      </c>
      <c r="M16" s="21"/>
      <c r="N16" s="22"/>
      <c r="O16" s="22"/>
      <c r="P16" s="22"/>
      <c r="Q16" s="22"/>
      <c r="R16" s="22"/>
      <c r="S16" s="20" t="s">
        <v>63</v>
      </c>
      <c r="T16" s="22"/>
      <c r="U16" s="22"/>
      <c r="V16" s="23"/>
    </row>
    <row r="17" spans="1:22" ht="15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28</v>
      </c>
      <c r="M17" s="29"/>
      <c r="N17" s="29"/>
      <c r="O17" s="30"/>
      <c r="P17" s="30"/>
      <c r="Q17" s="29"/>
      <c r="R17" s="29"/>
      <c r="S17" s="28" t="s">
        <v>72</v>
      </c>
      <c r="T17" s="29"/>
      <c r="U17" s="29"/>
      <c r="V17" s="31"/>
    </row>
    <row r="18" spans="1:22" ht="12.75" customHeight="1">
      <c r="A18" s="24" t="s">
        <v>42</v>
      </c>
      <c r="B18" s="25" t="s">
        <v>36</v>
      </c>
      <c r="C18" s="26"/>
      <c r="D18" s="26"/>
      <c r="E18" s="26"/>
      <c r="F18" s="26"/>
      <c r="G18" s="26"/>
      <c r="H18" s="26"/>
      <c r="I18" s="26"/>
      <c r="J18" s="26"/>
      <c r="K18" s="27" t="s">
        <v>20</v>
      </c>
      <c r="L18" s="34" t="s">
        <v>32</v>
      </c>
      <c r="M18" s="35"/>
      <c r="N18" s="35"/>
      <c r="O18" s="36"/>
      <c r="P18" s="36"/>
      <c r="Q18" s="35"/>
      <c r="R18" s="35"/>
      <c r="S18" s="34" t="s">
        <v>38</v>
      </c>
      <c r="T18" s="35"/>
      <c r="U18" s="35"/>
      <c r="V18" s="37"/>
    </row>
    <row r="19" spans="1:22" ht="15" customHeight="1">
      <c r="A19" s="24" t="s">
        <v>3</v>
      </c>
      <c r="B19" s="32"/>
      <c r="C19" s="33"/>
      <c r="D19" s="33"/>
      <c r="E19" s="33"/>
      <c r="F19" s="33"/>
      <c r="G19" s="33"/>
      <c r="H19" s="33"/>
      <c r="I19" s="33"/>
      <c r="J19" s="33"/>
      <c r="K19" s="27"/>
      <c r="L19" s="38" t="s">
        <v>10</v>
      </c>
      <c r="M19" s="39"/>
      <c r="N19" s="39"/>
      <c r="O19" s="40"/>
      <c r="P19" s="39"/>
      <c r="Q19" s="39"/>
      <c r="R19" s="39"/>
      <c r="S19" s="38" t="s">
        <v>10</v>
      </c>
      <c r="T19" s="39"/>
      <c r="U19" s="39"/>
      <c r="V19" s="41"/>
    </row>
    <row r="20" spans="1:22" ht="15" customHeight="1">
      <c r="A20" s="42"/>
      <c r="B20" s="32"/>
      <c r="C20" s="33"/>
      <c r="D20" s="33"/>
      <c r="E20" s="33"/>
      <c r="F20" s="33"/>
      <c r="G20" s="33"/>
      <c r="H20" s="33"/>
      <c r="I20" s="33"/>
      <c r="J20" s="33"/>
      <c r="K20" s="43"/>
      <c r="L20" s="38" t="s">
        <v>11</v>
      </c>
      <c r="M20" s="38"/>
      <c r="N20" s="38"/>
      <c r="O20" s="38" t="s">
        <v>69</v>
      </c>
      <c r="P20" s="38"/>
      <c r="Q20" s="38"/>
      <c r="R20" s="38"/>
      <c r="S20" s="38" t="s">
        <v>11</v>
      </c>
      <c r="T20" s="40"/>
      <c r="U20" s="38" t="s">
        <v>69</v>
      </c>
      <c r="V20" s="44"/>
    </row>
    <row r="21" spans="1:22" ht="12" customHeight="1">
      <c r="A21" s="45"/>
      <c r="B21" s="38" t="s">
        <v>57</v>
      </c>
      <c r="C21" s="48"/>
      <c r="D21" s="48"/>
      <c r="E21" s="48"/>
      <c r="F21" s="48"/>
      <c r="G21" s="48"/>
      <c r="H21" s="48"/>
      <c r="I21" s="48"/>
      <c r="J21" s="48"/>
      <c r="K21" s="50" t="s">
        <v>39</v>
      </c>
      <c r="L21" s="38" t="s">
        <v>23</v>
      </c>
      <c r="M21" s="48"/>
      <c r="N21" s="48"/>
      <c r="O21" s="38" t="s">
        <v>1</v>
      </c>
      <c r="P21" s="48"/>
      <c r="Q21" s="48"/>
      <c r="R21" s="48"/>
      <c r="S21" s="38" t="s">
        <v>55</v>
      </c>
      <c r="T21" s="48"/>
      <c r="U21" s="38" t="s">
        <v>37</v>
      </c>
      <c r="V21" s="41"/>
    </row>
    <row r="22" spans="1:23" ht="21.75" customHeight="1">
      <c r="A22" s="46"/>
      <c r="B22" s="47" t="s">
        <v>70</v>
      </c>
      <c r="C22" s="49"/>
      <c r="D22" s="49"/>
      <c r="E22" s="14"/>
      <c r="F22" s="14"/>
      <c r="G22" s="14"/>
      <c r="H22" s="14"/>
      <c r="I22" s="14"/>
      <c r="J22" s="49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4" ht="14.25" customHeight="1">
      <c r="A23" s="56">
        <v>1010</v>
      </c>
      <c r="B23" s="57" t="s">
        <v>49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159">
        <f>266.6+690.3</f>
        <v>956.9</v>
      </c>
      <c r="M23" s="159"/>
      <c r="N23" s="60"/>
      <c r="O23" s="158"/>
      <c r="P23" s="158"/>
      <c r="Q23" s="158"/>
      <c r="R23" s="159"/>
      <c r="S23" s="158"/>
      <c r="T23" s="159"/>
      <c r="U23" s="160"/>
      <c r="V23" s="159"/>
      <c r="W23" s="55"/>
      <c r="X23">
        <v>956.9</v>
      </c>
    </row>
    <row r="24" spans="1:24" ht="13.5" customHeight="1">
      <c r="A24" s="56">
        <v>1020</v>
      </c>
      <c r="B24" s="57" t="s">
        <v>59</v>
      </c>
      <c r="C24" s="1"/>
      <c r="D24" s="1"/>
      <c r="E24" s="1"/>
      <c r="F24" s="1"/>
      <c r="G24" s="1"/>
      <c r="H24" s="1"/>
      <c r="I24" s="1"/>
      <c r="J24" s="1"/>
      <c r="K24" s="58" t="s">
        <v>24</v>
      </c>
      <c r="L24" s="161">
        <f>214+456</f>
        <v>670</v>
      </c>
      <c r="M24" s="161"/>
      <c r="N24" s="61"/>
      <c r="O24" s="163"/>
      <c r="P24" s="163"/>
      <c r="Q24" s="163"/>
      <c r="R24" s="161"/>
      <c r="S24" s="163"/>
      <c r="T24" s="161"/>
      <c r="U24" s="164"/>
      <c r="V24" s="161"/>
      <c r="W24" s="55"/>
      <c r="X24">
        <v>670</v>
      </c>
    </row>
    <row r="25" spans="1:24" ht="13.5" customHeight="1">
      <c r="A25" s="56">
        <v>1030</v>
      </c>
      <c r="B25" s="57" t="s">
        <v>16</v>
      </c>
      <c r="C25" s="1"/>
      <c r="D25" s="1"/>
      <c r="E25" s="1"/>
      <c r="F25" s="1"/>
      <c r="G25" s="1"/>
      <c r="H25" s="1"/>
      <c r="I25" s="1"/>
      <c r="J25" s="1"/>
      <c r="K25" s="58" t="s">
        <v>24</v>
      </c>
      <c r="L25" s="159">
        <f>378.3+946.7</f>
        <v>1325</v>
      </c>
      <c r="M25" s="159"/>
      <c r="N25" s="60"/>
      <c r="O25" s="158"/>
      <c r="P25" s="158"/>
      <c r="Q25" s="158"/>
      <c r="R25" s="159"/>
      <c r="S25" s="158"/>
      <c r="T25" s="159"/>
      <c r="U25" s="160"/>
      <c r="V25" s="159"/>
      <c r="W25" s="55"/>
      <c r="X25">
        <v>1325</v>
      </c>
    </row>
    <row r="26" spans="1:24" ht="13.5" customHeight="1">
      <c r="A26" s="56">
        <v>1040</v>
      </c>
      <c r="B26" s="57" t="s">
        <v>27</v>
      </c>
      <c r="C26" s="1"/>
      <c r="D26" s="1"/>
      <c r="E26" s="1"/>
      <c r="F26" s="1"/>
      <c r="G26" s="1"/>
      <c r="H26" s="1"/>
      <c r="I26" s="1"/>
      <c r="J26" s="1"/>
      <c r="K26" s="58" t="s">
        <v>24</v>
      </c>
      <c r="L26" s="161">
        <f>25208+35050</f>
        <v>60258</v>
      </c>
      <c r="M26" s="161"/>
      <c r="N26" s="61"/>
      <c r="O26" s="158"/>
      <c r="P26" s="158"/>
      <c r="Q26" s="158"/>
      <c r="R26" s="159"/>
      <c r="S26" s="158"/>
      <c r="T26" s="159"/>
      <c r="U26" s="160"/>
      <c r="V26" s="159"/>
      <c r="W26" s="55"/>
      <c r="X26">
        <v>60258</v>
      </c>
    </row>
    <row r="27" spans="1:24" ht="13.5" customHeight="1">
      <c r="A27" s="56">
        <v>1050</v>
      </c>
      <c r="B27" s="57" t="s">
        <v>8</v>
      </c>
      <c r="C27" s="1"/>
      <c r="D27" s="1"/>
      <c r="E27" s="1"/>
      <c r="F27" s="1"/>
      <c r="G27" s="1"/>
      <c r="H27" s="1"/>
      <c r="I27" s="1"/>
      <c r="J27" s="1"/>
      <c r="K27" s="58" t="s">
        <v>24</v>
      </c>
      <c r="L27" s="159">
        <f>5.888+9.514+1.6+4.2</f>
        <v>21.201999999999998</v>
      </c>
      <c r="M27" s="159"/>
      <c r="N27" s="60"/>
      <c r="O27" s="158"/>
      <c r="P27" s="158"/>
      <c r="Q27" s="158"/>
      <c r="R27" s="159"/>
      <c r="S27" s="158"/>
      <c r="T27" s="159"/>
      <c r="U27" s="160"/>
      <c r="V27" s="159"/>
      <c r="W27" s="55"/>
      <c r="X27">
        <v>21.201999999999998</v>
      </c>
    </row>
    <row r="28" spans="1:24" ht="13.5" customHeight="1">
      <c r="A28" s="56">
        <v>1060</v>
      </c>
      <c r="B28" s="57" t="s">
        <v>64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159">
        <f>30871.5+58017</f>
        <v>88888.5</v>
      </c>
      <c r="M28" s="159"/>
      <c r="N28" s="60"/>
      <c r="O28" s="158"/>
      <c r="P28" s="158"/>
      <c r="Q28" s="158"/>
      <c r="R28" s="159"/>
      <c r="S28" s="158"/>
      <c r="T28" s="159"/>
      <c r="U28" s="160"/>
      <c r="V28" s="159"/>
      <c r="W28" s="55"/>
      <c r="X28">
        <v>88888.5</v>
      </c>
    </row>
    <row r="29" spans="1:24" ht="13.5" customHeight="1">
      <c r="A29" s="56">
        <v>1070</v>
      </c>
      <c r="B29" s="57" t="s">
        <v>41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159">
        <f>41854.9+85995.8</f>
        <v>127850.70000000001</v>
      </c>
      <c r="M29" s="159"/>
      <c r="N29" s="60"/>
      <c r="O29" s="158"/>
      <c r="P29" s="158"/>
      <c r="Q29" s="158"/>
      <c r="R29" s="159"/>
      <c r="S29" s="158"/>
      <c r="T29" s="159"/>
      <c r="U29" s="160"/>
      <c r="V29" s="159"/>
      <c r="W29" s="55"/>
      <c r="X29">
        <v>127850.70000000001</v>
      </c>
    </row>
    <row r="30" spans="1:23" ht="13.5" customHeight="1">
      <c r="A30" s="56">
        <v>1080</v>
      </c>
      <c r="B30" s="57" t="s">
        <v>14</v>
      </c>
      <c r="C30" s="1"/>
      <c r="D30" s="1"/>
      <c r="E30" s="1"/>
      <c r="F30" s="1"/>
      <c r="G30" s="1"/>
      <c r="H30" s="1"/>
      <c r="I30" s="1"/>
      <c r="J30" s="1"/>
      <c r="K30" s="58" t="s">
        <v>56</v>
      </c>
      <c r="L30" s="162">
        <f>L28/L29</f>
        <v>0.6952523529397961</v>
      </c>
      <c r="M30" s="162"/>
      <c r="N30" s="62"/>
      <c r="O30" s="158"/>
      <c r="P30" s="158"/>
      <c r="Q30" s="158"/>
      <c r="R30" s="159"/>
      <c r="S30" s="158"/>
      <c r="T30" s="159"/>
      <c r="U30" s="160"/>
      <c r="V30" s="159"/>
      <c r="W30" s="55"/>
    </row>
    <row r="31" spans="1:23" ht="13.5" customHeight="1">
      <c r="A31" s="56"/>
      <c r="B31" s="57" t="s">
        <v>33</v>
      </c>
      <c r="C31" s="1"/>
      <c r="D31" s="1"/>
      <c r="E31" s="1"/>
      <c r="F31" s="1"/>
      <c r="G31" s="1"/>
      <c r="H31" s="1"/>
      <c r="I31" s="1"/>
      <c r="J31" s="1"/>
      <c r="K31" s="58"/>
      <c r="L31" s="59"/>
      <c r="M31" s="60"/>
      <c r="N31" s="60"/>
      <c r="O31" s="158"/>
      <c r="P31" s="158"/>
      <c r="Q31" s="158"/>
      <c r="R31" s="159"/>
      <c r="S31" s="158"/>
      <c r="T31" s="159"/>
      <c r="U31" s="160"/>
      <c r="V31" s="159"/>
      <c r="W31" s="55"/>
    </row>
    <row r="32" spans="1:24" ht="13.5" customHeight="1">
      <c r="A32" s="56">
        <v>1091</v>
      </c>
      <c r="B32" s="57"/>
      <c r="C32" s="1" t="s">
        <v>54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159">
        <f>3097.2+5802.3</f>
        <v>8899.5</v>
      </c>
      <c r="M32" s="159"/>
      <c r="N32" s="60"/>
      <c r="O32" s="158"/>
      <c r="P32" s="158"/>
      <c r="Q32" s="158"/>
      <c r="R32" s="159"/>
      <c r="S32" s="158"/>
      <c r="T32" s="159"/>
      <c r="U32" s="160"/>
      <c r="V32" s="159"/>
      <c r="W32" s="55"/>
      <c r="X32">
        <v>8899.5</v>
      </c>
    </row>
    <row r="33" spans="1:24" ht="13.5" customHeight="1">
      <c r="A33" s="56">
        <v>1092</v>
      </c>
      <c r="B33" s="57"/>
      <c r="C33" s="1" t="s">
        <v>47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159">
        <f>7+15.5</f>
        <v>22.5</v>
      </c>
      <c r="M33" s="159"/>
      <c r="N33" s="60"/>
      <c r="O33" s="158"/>
      <c r="P33" s="158"/>
      <c r="Q33" s="158"/>
      <c r="R33" s="159"/>
      <c r="S33" s="158"/>
      <c r="T33" s="159"/>
      <c r="U33" s="160"/>
      <c r="V33" s="159"/>
      <c r="W33" s="55"/>
      <c r="X33">
        <v>22.5</v>
      </c>
    </row>
    <row r="34" spans="1:24" ht="13.5" customHeight="1">
      <c r="A34" s="56">
        <v>1093</v>
      </c>
      <c r="B34" s="57"/>
      <c r="C34" s="1" t="s">
        <v>25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159">
        <f>1.9+7.7</f>
        <v>9.6</v>
      </c>
      <c r="M34" s="159"/>
      <c r="N34" s="60"/>
      <c r="O34" s="158"/>
      <c r="P34" s="158"/>
      <c r="Q34" s="158"/>
      <c r="R34" s="159"/>
      <c r="S34" s="158"/>
      <c r="T34" s="159"/>
      <c r="U34" s="160"/>
      <c r="V34" s="159"/>
      <c r="W34" s="55"/>
      <c r="X34">
        <v>9.6</v>
      </c>
    </row>
    <row r="35" spans="1:24" ht="13.5" customHeight="1">
      <c r="A35" s="56">
        <v>1094</v>
      </c>
      <c r="B35" s="57"/>
      <c r="C35" s="1" t="s">
        <v>0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159">
        <f>L32+L33+L34</f>
        <v>8931.6</v>
      </c>
      <c r="M35" s="159"/>
      <c r="N35" s="60"/>
      <c r="O35" s="158"/>
      <c r="P35" s="158"/>
      <c r="Q35" s="158"/>
      <c r="R35" s="159"/>
      <c r="S35" s="158"/>
      <c r="T35" s="159"/>
      <c r="U35" s="160"/>
      <c r="V35" s="159"/>
      <c r="W35" s="55"/>
      <c r="X35">
        <v>8931.6</v>
      </c>
    </row>
    <row r="36" spans="1:24" ht="13.5" customHeight="1">
      <c r="A36" s="56">
        <v>1100</v>
      </c>
      <c r="B36" s="57" t="s">
        <v>44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159">
        <f>4384+9793.7</f>
        <v>14177.7</v>
      </c>
      <c r="M36" s="159"/>
      <c r="N36" s="60"/>
      <c r="O36" s="158"/>
      <c r="P36" s="158"/>
      <c r="Q36" s="158"/>
      <c r="R36" s="159"/>
      <c r="S36" s="158"/>
      <c r="T36" s="159"/>
      <c r="U36" s="160"/>
      <c r="V36" s="159"/>
      <c r="W36" s="55"/>
      <c r="X36">
        <v>14177.7</v>
      </c>
    </row>
    <row r="37" spans="1:23" ht="13.5" customHeight="1">
      <c r="A37" s="56">
        <v>1110</v>
      </c>
      <c r="B37" s="57" t="s">
        <v>15</v>
      </c>
      <c r="C37" s="1"/>
      <c r="D37" s="1"/>
      <c r="E37" s="1"/>
      <c r="F37" s="1"/>
      <c r="G37" s="1"/>
      <c r="H37" s="1"/>
      <c r="I37" s="1"/>
      <c r="J37" s="1"/>
      <c r="K37" s="58" t="s">
        <v>56</v>
      </c>
      <c r="L37" s="162">
        <f>L35/L36</f>
        <v>0.6299752428108931</v>
      </c>
      <c r="M37" s="162"/>
      <c r="N37" s="62"/>
      <c r="O37" s="158"/>
      <c r="P37" s="158"/>
      <c r="Q37" s="158"/>
      <c r="R37" s="159"/>
      <c r="S37" s="158"/>
      <c r="T37" s="159"/>
      <c r="U37" s="160"/>
      <c r="V37" s="159"/>
      <c r="W37" s="55"/>
    </row>
    <row r="38" spans="1:23" ht="11.25" customHeight="1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59"/>
      <c r="M38" s="60"/>
      <c r="N38" s="60"/>
      <c r="O38" s="158"/>
      <c r="P38" s="158"/>
      <c r="Q38" s="158"/>
      <c r="R38" s="159"/>
      <c r="S38" s="158"/>
      <c r="T38" s="159"/>
      <c r="U38" s="160"/>
      <c r="V38" s="159"/>
      <c r="W38" s="55"/>
    </row>
    <row r="39" spans="1:24" ht="13.5" customHeight="1">
      <c r="A39" s="56"/>
      <c r="B39" s="63" t="s">
        <v>62</v>
      </c>
      <c r="C39" s="1"/>
      <c r="D39" s="1"/>
      <c r="E39" s="1"/>
      <c r="F39" s="1"/>
      <c r="G39" s="1"/>
      <c r="H39" s="1"/>
      <c r="I39" s="1"/>
      <c r="J39" s="1"/>
      <c r="K39" s="58"/>
      <c r="L39" s="64"/>
      <c r="M39" s="65"/>
      <c r="N39" s="65"/>
      <c r="O39" s="64"/>
      <c r="P39" s="65"/>
      <c r="Q39" s="65"/>
      <c r="R39" s="65"/>
      <c r="S39" s="64"/>
      <c r="T39" s="65"/>
      <c r="U39" s="64"/>
      <c r="V39" s="65"/>
      <c r="W39" s="55"/>
      <c r="X39">
        <v>7</v>
      </c>
    </row>
    <row r="40" spans="1:24" ht="13.5" customHeight="1">
      <c r="A40" s="56">
        <v>2010</v>
      </c>
      <c r="B40" s="57" t="s">
        <v>29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159">
        <f>7+0</f>
        <v>7</v>
      </c>
      <c r="M40" s="159"/>
      <c r="N40" s="60"/>
      <c r="O40" s="158"/>
      <c r="P40" s="158"/>
      <c r="Q40" s="158"/>
      <c r="R40" s="159"/>
      <c r="S40" s="158"/>
      <c r="T40" s="159"/>
      <c r="U40" s="160"/>
      <c r="V40" s="159"/>
      <c r="W40" s="55"/>
      <c r="X40">
        <v>6</v>
      </c>
    </row>
    <row r="41" spans="1:24" ht="13.5" customHeight="1">
      <c r="A41" s="56">
        <v>2020</v>
      </c>
      <c r="B41" s="57" t="s">
        <v>51</v>
      </c>
      <c r="C41" s="1"/>
      <c r="D41" s="66"/>
      <c r="E41" s="1"/>
      <c r="F41" s="1"/>
      <c r="G41" s="1"/>
      <c r="H41" s="1"/>
      <c r="I41" s="1"/>
      <c r="J41" s="1"/>
      <c r="K41" s="58" t="s">
        <v>24</v>
      </c>
      <c r="L41" s="161">
        <f>6+0</f>
        <v>6</v>
      </c>
      <c r="M41" s="161"/>
      <c r="N41" s="60"/>
      <c r="O41" s="158"/>
      <c r="P41" s="158"/>
      <c r="Q41" s="158"/>
      <c r="R41" s="159"/>
      <c r="S41" s="158"/>
      <c r="T41" s="159"/>
      <c r="U41" s="160"/>
      <c r="V41" s="159"/>
      <c r="W41" s="55"/>
      <c r="X41">
        <v>10.4</v>
      </c>
    </row>
    <row r="42" spans="1:24" ht="13.5" customHeight="1">
      <c r="A42" s="56">
        <v>2030</v>
      </c>
      <c r="B42" s="57" t="s">
        <v>34</v>
      </c>
      <c r="C42" s="1"/>
      <c r="D42" s="1"/>
      <c r="E42" s="1"/>
      <c r="F42" s="1"/>
      <c r="G42" s="1"/>
      <c r="H42" s="1"/>
      <c r="I42" s="1"/>
      <c r="J42" s="1"/>
      <c r="K42" s="58" t="s">
        <v>24</v>
      </c>
      <c r="L42" s="159">
        <f>10.4+0</f>
        <v>10.4</v>
      </c>
      <c r="M42" s="159"/>
      <c r="N42" s="60"/>
      <c r="O42" s="158"/>
      <c r="P42" s="158"/>
      <c r="Q42" s="158"/>
      <c r="R42" s="159"/>
      <c r="S42" s="158"/>
      <c r="T42" s="159"/>
      <c r="U42" s="160"/>
      <c r="V42" s="159"/>
      <c r="W42" s="55"/>
      <c r="X42">
        <v>26</v>
      </c>
    </row>
    <row r="43" spans="1:24" ht="13.5" customHeight="1">
      <c r="A43" s="56">
        <v>2040</v>
      </c>
      <c r="B43" s="57" t="s">
        <v>71</v>
      </c>
      <c r="C43" s="1"/>
      <c r="D43" s="1"/>
      <c r="E43" s="1"/>
      <c r="F43" s="1"/>
      <c r="G43" s="1"/>
      <c r="H43" s="1"/>
      <c r="I43" s="1"/>
      <c r="J43" s="1"/>
      <c r="K43" s="58" t="s">
        <v>24</v>
      </c>
      <c r="L43" s="161">
        <f>26+0</f>
        <v>26</v>
      </c>
      <c r="M43" s="161"/>
      <c r="N43" s="61"/>
      <c r="O43" s="158"/>
      <c r="P43" s="158"/>
      <c r="Q43" s="158"/>
      <c r="R43" s="159"/>
      <c r="S43" s="158"/>
      <c r="T43" s="159"/>
      <c r="U43" s="160"/>
      <c r="V43" s="159"/>
      <c r="W43" s="55"/>
      <c r="X43">
        <v>0</v>
      </c>
    </row>
    <row r="44" spans="1:24" ht="13.5" customHeight="1">
      <c r="A44" s="56">
        <v>2050</v>
      </c>
      <c r="B44" s="57" t="s">
        <v>58</v>
      </c>
      <c r="C44" s="1"/>
      <c r="D44" s="66"/>
      <c r="E44" s="1"/>
      <c r="F44" s="1"/>
      <c r="G44" s="1"/>
      <c r="H44" s="1"/>
      <c r="I44" s="1"/>
      <c r="J44" s="1"/>
      <c r="K44" s="58" t="s">
        <v>24</v>
      </c>
      <c r="L44" s="159">
        <f>0+0+0+0</f>
        <v>0</v>
      </c>
      <c r="M44" s="159"/>
      <c r="N44" s="60"/>
      <c r="O44" s="158"/>
      <c r="P44" s="158"/>
      <c r="Q44" s="158"/>
      <c r="R44" s="159"/>
      <c r="S44" s="158"/>
      <c r="T44" s="159"/>
      <c r="U44" s="160"/>
      <c r="V44" s="159"/>
      <c r="W44" s="55"/>
      <c r="X44">
        <v>30.2</v>
      </c>
    </row>
    <row r="45" spans="1:24" ht="13.5" customHeight="1">
      <c r="A45" s="56">
        <v>2060</v>
      </c>
      <c r="B45" s="57" t="s">
        <v>22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159">
        <f>30.2+0</f>
        <v>30.2</v>
      </c>
      <c r="M45" s="159"/>
      <c r="N45" s="60"/>
      <c r="O45" s="158"/>
      <c r="P45" s="158"/>
      <c r="Q45" s="158"/>
      <c r="R45" s="159"/>
      <c r="S45" s="158"/>
      <c r="T45" s="159"/>
      <c r="U45" s="160"/>
      <c r="V45" s="159"/>
      <c r="W45" s="55"/>
      <c r="X45">
        <v>726.2</v>
      </c>
    </row>
    <row r="46" spans="1:23" ht="13.5" customHeight="1">
      <c r="A46" s="56">
        <v>2070</v>
      </c>
      <c r="B46" s="57" t="s">
        <v>53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159">
        <f>726.2+0</f>
        <v>726.2</v>
      </c>
      <c r="M46" s="159"/>
      <c r="N46" s="60"/>
      <c r="O46" s="158"/>
      <c r="P46" s="158"/>
      <c r="Q46" s="158"/>
      <c r="R46" s="159"/>
      <c r="S46" s="158"/>
      <c r="T46" s="159"/>
      <c r="U46" s="160"/>
      <c r="V46" s="159"/>
      <c r="W46" s="55"/>
    </row>
    <row r="47" spans="1:24" ht="13.5" customHeight="1">
      <c r="A47" s="56"/>
      <c r="B47" s="57" t="s">
        <v>13</v>
      </c>
      <c r="C47" s="1" t="s">
        <v>61</v>
      </c>
      <c r="D47" s="1"/>
      <c r="E47" s="1"/>
      <c r="F47" s="1"/>
      <c r="G47" s="1"/>
      <c r="H47" s="1"/>
      <c r="I47" s="1"/>
      <c r="J47" s="1"/>
      <c r="K47" s="58"/>
      <c r="L47" s="59"/>
      <c r="M47" s="60"/>
      <c r="N47" s="60"/>
      <c r="O47" s="158"/>
      <c r="P47" s="158"/>
      <c r="Q47" s="158"/>
      <c r="R47" s="159"/>
      <c r="S47" s="158"/>
      <c r="T47" s="159"/>
      <c r="U47" s="160"/>
      <c r="V47" s="159"/>
      <c r="W47" s="55"/>
      <c r="X47">
        <v>3.3</v>
      </c>
    </row>
    <row r="48" spans="1:24" ht="13.5" customHeight="1">
      <c r="A48" s="56">
        <v>2091</v>
      </c>
      <c r="B48" s="57"/>
      <c r="C48" s="1" t="s">
        <v>54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159">
        <f>3.3+0</f>
        <v>3.3</v>
      </c>
      <c r="M48" s="159"/>
      <c r="N48" s="60"/>
      <c r="O48" s="158"/>
      <c r="P48" s="158"/>
      <c r="Q48" s="158"/>
      <c r="R48" s="159"/>
      <c r="S48" s="158"/>
      <c r="T48" s="159"/>
      <c r="U48" s="160"/>
      <c r="V48" s="159"/>
      <c r="W48" s="55"/>
      <c r="X48">
        <v>0</v>
      </c>
    </row>
    <row r="49" spans="1:24" ht="13.5" customHeight="1">
      <c r="A49" s="56">
        <v>2092</v>
      </c>
      <c r="B49" s="57"/>
      <c r="C49" s="1" t="s">
        <v>35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159">
        <f>0+0+0+0</f>
        <v>0</v>
      </c>
      <c r="M49" s="159"/>
      <c r="N49" s="60"/>
      <c r="O49" s="158"/>
      <c r="P49" s="158"/>
      <c r="Q49" s="158"/>
      <c r="R49" s="159"/>
      <c r="S49" s="158"/>
      <c r="T49" s="159"/>
      <c r="U49" s="160"/>
      <c r="V49" s="159"/>
      <c r="W49" s="55"/>
      <c r="X49">
        <v>3.3</v>
      </c>
    </row>
    <row r="50" spans="1:24" ht="13.5" customHeight="1">
      <c r="A50" s="56">
        <v>2094</v>
      </c>
      <c r="B50" s="57"/>
      <c r="C50" s="1" t="s">
        <v>26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159">
        <f>L48+L49</f>
        <v>3.3</v>
      </c>
      <c r="M50" s="159"/>
      <c r="N50" s="60"/>
      <c r="O50" s="158"/>
      <c r="P50" s="158"/>
      <c r="Q50" s="158"/>
      <c r="R50" s="159"/>
      <c r="S50" s="158"/>
      <c r="T50" s="159"/>
      <c r="U50" s="160"/>
      <c r="V50" s="159"/>
      <c r="W50" s="55"/>
      <c r="X50">
        <v>82.2</v>
      </c>
    </row>
    <row r="51" spans="1:23" ht="13.5" customHeight="1">
      <c r="A51" s="56">
        <v>2100</v>
      </c>
      <c r="B51" s="57" t="s">
        <v>31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159">
        <f>82.2+0</f>
        <v>82.2</v>
      </c>
      <c r="M51" s="159"/>
      <c r="N51" s="60"/>
      <c r="O51" s="158"/>
      <c r="P51" s="158"/>
      <c r="Q51" s="158"/>
      <c r="R51" s="159"/>
      <c r="S51" s="158"/>
      <c r="T51" s="159"/>
      <c r="U51" s="160"/>
      <c r="V51" s="159"/>
      <c r="W51" s="55"/>
    </row>
    <row r="52" spans="1:23" ht="10.5" customHeight="1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59"/>
      <c r="M52" s="60"/>
      <c r="N52" s="60"/>
      <c r="O52" s="158"/>
      <c r="P52" s="158"/>
      <c r="Q52" s="158"/>
      <c r="R52" s="159"/>
      <c r="S52" s="158"/>
      <c r="T52" s="159"/>
      <c r="U52" s="160"/>
      <c r="V52" s="159"/>
      <c r="W52" s="55"/>
    </row>
    <row r="53" spans="1:23" ht="13.5" customHeight="1">
      <c r="A53" s="56"/>
      <c r="B53" s="63" t="s">
        <v>66</v>
      </c>
      <c r="C53" s="1"/>
      <c r="D53" s="1"/>
      <c r="E53" s="1"/>
      <c r="F53" s="1"/>
      <c r="G53" s="1"/>
      <c r="H53" s="1"/>
      <c r="I53" s="1"/>
      <c r="J53" s="1"/>
      <c r="K53" s="58"/>
      <c r="L53" s="64"/>
      <c r="M53" s="65"/>
      <c r="N53" s="65"/>
      <c r="O53" s="64"/>
      <c r="P53" s="65"/>
      <c r="Q53" s="65"/>
      <c r="R53" s="65"/>
      <c r="S53" s="64"/>
      <c r="T53" s="65"/>
      <c r="U53" s="64"/>
      <c r="V53" s="65"/>
      <c r="W53" s="55"/>
    </row>
    <row r="54" spans="1:23" ht="13.5" customHeight="1">
      <c r="A54" s="56">
        <v>2330</v>
      </c>
      <c r="B54" s="57" t="s">
        <v>68</v>
      </c>
      <c r="C54" s="1"/>
      <c r="D54" s="1"/>
      <c r="E54" s="1"/>
      <c r="F54" s="1"/>
      <c r="G54" s="1"/>
      <c r="H54" s="1"/>
      <c r="I54" s="1"/>
      <c r="J54" s="1"/>
      <c r="K54" s="58" t="s">
        <v>24</v>
      </c>
      <c r="L54" s="159">
        <f>7.3+4.1</f>
        <v>11.399999999999999</v>
      </c>
      <c r="M54" s="159"/>
      <c r="N54" s="60"/>
      <c r="O54" s="158">
        <v>3.6</v>
      </c>
      <c r="P54" s="158"/>
      <c r="Q54" s="158"/>
      <c r="R54" s="159"/>
      <c r="S54" s="158"/>
      <c r="T54" s="159"/>
      <c r="U54" s="160"/>
      <c r="V54" s="159"/>
      <c r="W54" s="55"/>
    </row>
    <row r="55" spans="1:23" ht="10.5" customHeight="1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72"/>
      <c r="M55" s="2"/>
      <c r="N55" s="69"/>
      <c r="O55" s="68"/>
      <c r="P55" s="2"/>
      <c r="Q55" s="2"/>
      <c r="R55" s="2"/>
      <c r="S55" s="72"/>
      <c r="T55" s="2"/>
      <c r="U55" s="72"/>
      <c r="V55" s="2"/>
      <c r="W55" s="55"/>
    </row>
    <row r="56" spans="1:23" ht="24.75" customHeight="1" thickBot="1">
      <c r="A56" s="73" t="s">
        <v>50</v>
      </c>
      <c r="B56" s="75"/>
      <c r="C56" s="77"/>
      <c r="D56" s="77"/>
      <c r="E56" s="78"/>
      <c r="F56" s="78"/>
      <c r="G56" s="78"/>
      <c r="H56" s="78"/>
      <c r="I56" s="78"/>
      <c r="J56" s="78"/>
      <c r="K56" s="79"/>
      <c r="L56" s="79"/>
      <c r="M56" s="79"/>
      <c r="N56" s="78"/>
      <c r="O56" s="78"/>
      <c r="P56" s="71"/>
      <c r="Q56" s="71"/>
      <c r="R56" s="71"/>
      <c r="S56" s="71"/>
      <c r="T56" s="71"/>
      <c r="U56" s="71"/>
      <c r="V56" s="71"/>
      <c r="W56" s="55"/>
    </row>
    <row r="57" spans="1:15" ht="12.75" customHeight="1">
      <c r="A57" s="74"/>
      <c r="B57" s="76"/>
      <c r="C57" s="74"/>
      <c r="D57" s="76"/>
      <c r="E57" s="74"/>
      <c r="F57" s="74"/>
      <c r="G57" s="74"/>
      <c r="H57" s="74"/>
      <c r="I57" s="74"/>
      <c r="J57" s="74"/>
      <c r="K57" s="80"/>
      <c r="L57" s="81"/>
      <c r="M57" s="81"/>
      <c r="N57" s="74"/>
      <c r="O57" s="74"/>
    </row>
  </sheetData>
  <sheetProtection/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showZeros="0" zoomScalePageLayoutView="0" workbookViewId="0" topLeftCell="A19">
      <selection activeCell="Y57" sqref="Y57"/>
    </sheetView>
  </sheetViews>
  <sheetFormatPr defaultColWidth="9.140625" defaultRowHeight="12.75"/>
  <cols>
    <col min="1" max="1" width="12.8515625" style="0" customWidth="1"/>
    <col min="2" max="2" width="2.57421875" style="0" customWidth="1"/>
    <col min="3" max="3" width="2.7109375" style="0" customWidth="1"/>
    <col min="4" max="5" width="4.140625" style="0" customWidth="1"/>
    <col min="6" max="6" width="6.57421875" style="0" customWidth="1"/>
    <col min="7" max="7" width="7.140625" style="0" customWidth="1"/>
    <col min="8" max="8" width="6.8515625" style="0" customWidth="1"/>
    <col min="9" max="9" width="3.421875" style="0" customWidth="1"/>
    <col min="10" max="10" width="2.8515625" style="0" customWidth="1"/>
    <col min="11" max="11" width="8.421875" style="0" customWidth="1"/>
    <col min="12" max="12" width="7.28125" style="0" customWidth="1"/>
    <col min="13" max="13" width="4.7109375" style="0" customWidth="1"/>
    <col min="14" max="14" width="1.28515625" style="0" customWidth="1"/>
    <col min="15" max="18" width="3.28125" style="0" customWidth="1"/>
    <col min="19" max="22" width="6.57421875" style="0" customWidth="1"/>
    <col min="23" max="23" width="0.7187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48</v>
      </c>
    </row>
    <row r="2" spans="1:22" ht="14.25" customHeight="1">
      <c r="A2" s="5" t="s">
        <v>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>
      <c r="A3" s="5" t="s">
        <v>7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>
      <c r="A4" s="5" t="s">
        <v>45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7" t="s">
        <v>4</v>
      </c>
      <c r="B9" s="8" t="s">
        <v>43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9</v>
      </c>
      <c r="P9" s="9"/>
      <c r="Q9" s="9"/>
      <c r="R9" s="9"/>
      <c r="S9" s="9"/>
      <c r="T9" s="9"/>
      <c r="U9" s="1"/>
      <c r="V9" s="1"/>
    </row>
    <row r="10" spans="1:22" ht="14.25" customHeight="1">
      <c r="A10" s="7" t="s">
        <v>18</v>
      </c>
      <c r="B10" s="11" t="s">
        <v>52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67</v>
      </c>
      <c r="O10" s="11" t="s">
        <v>52</v>
      </c>
      <c r="P10" s="12"/>
      <c r="Q10" s="12"/>
      <c r="R10" s="12"/>
      <c r="S10" s="12"/>
      <c r="T10" s="12"/>
      <c r="U10" s="1"/>
      <c r="V10" s="1"/>
    </row>
    <row r="11" spans="1:22" ht="14.25" customHeight="1">
      <c r="A11" s="7" t="s">
        <v>12</v>
      </c>
      <c r="B11" s="12" t="s">
        <v>30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>
      <c r="A12" s="7" t="s">
        <v>46</v>
      </c>
      <c r="B12" s="12" t="s">
        <v>19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60</v>
      </c>
      <c r="O12" s="5" t="s">
        <v>74</v>
      </c>
      <c r="P12" s="9"/>
      <c r="Q12" s="9"/>
      <c r="R12" s="9"/>
      <c r="S12" s="9"/>
      <c r="T12" s="9"/>
      <c r="U12" s="1"/>
      <c r="V12" s="1"/>
    </row>
    <row r="13" spans="1:22" ht="14.25" customHeight="1">
      <c r="A13" s="7" t="s">
        <v>40</v>
      </c>
      <c r="B13" s="12" t="s">
        <v>65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21</v>
      </c>
      <c r="O13" s="11">
        <v>2017</v>
      </c>
      <c r="P13" s="12"/>
      <c r="Q13" s="12"/>
      <c r="R13" s="12"/>
      <c r="S13" s="12"/>
      <c r="T13" s="12"/>
      <c r="U13" s="1"/>
      <c r="V13" s="1"/>
    </row>
    <row r="14" spans="1:22" ht="18" customHeight="1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</v>
      </c>
      <c r="M16" s="21"/>
      <c r="N16" s="22"/>
      <c r="O16" s="22"/>
      <c r="P16" s="22"/>
      <c r="Q16" s="22"/>
      <c r="R16" s="22"/>
      <c r="S16" s="20" t="s">
        <v>63</v>
      </c>
      <c r="T16" s="22"/>
      <c r="U16" s="22"/>
      <c r="V16" s="23"/>
    </row>
    <row r="17" spans="1:22" ht="15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28</v>
      </c>
      <c r="M17" s="29"/>
      <c r="N17" s="29"/>
      <c r="O17" s="30"/>
      <c r="P17" s="30"/>
      <c r="Q17" s="29"/>
      <c r="R17" s="29"/>
      <c r="S17" s="28" t="s">
        <v>72</v>
      </c>
      <c r="T17" s="29"/>
      <c r="U17" s="29"/>
      <c r="V17" s="31"/>
    </row>
    <row r="18" spans="1:22" ht="12.75" customHeight="1">
      <c r="A18" s="24" t="s">
        <v>42</v>
      </c>
      <c r="B18" s="25" t="s">
        <v>36</v>
      </c>
      <c r="C18" s="26"/>
      <c r="D18" s="26"/>
      <c r="E18" s="26"/>
      <c r="F18" s="26"/>
      <c r="G18" s="26"/>
      <c r="H18" s="26"/>
      <c r="I18" s="26"/>
      <c r="J18" s="26"/>
      <c r="K18" s="27" t="s">
        <v>20</v>
      </c>
      <c r="L18" s="34" t="s">
        <v>32</v>
      </c>
      <c r="M18" s="35"/>
      <c r="N18" s="35"/>
      <c r="O18" s="36"/>
      <c r="P18" s="36"/>
      <c r="Q18" s="35"/>
      <c r="R18" s="35"/>
      <c r="S18" s="34" t="s">
        <v>38</v>
      </c>
      <c r="T18" s="35"/>
      <c r="U18" s="35"/>
      <c r="V18" s="37"/>
    </row>
    <row r="19" spans="1:22" ht="15" customHeight="1">
      <c r="A19" s="24" t="s">
        <v>3</v>
      </c>
      <c r="B19" s="32"/>
      <c r="C19" s="33"/>
      <c r="D19" s="33"/>
      <c r="E19" s="33"/>
      <c r="F19" s="33"/>
      <c r="G19" s="33"/>
      <c r="H19" s="33"/>
      <c r="I19" s="33"/>
      <c r="J19" s="33"/>
      <c r="K19" s="27"/>
      <c r="L19" s="38" t="s">
        <v>10</v>
      </c>
      <c r="M19" s="39"/>
      <c r="N19" s="39"/>
      <c r="O19" s="40"/>
      <c r="P19" s="39"/>
      <c r="Q19" s="39"/>
      <c r="R19" s="39"/>
      <c r="S19" s="38" t="s">
        <v>10</v>
      </c>
      <c r="T19" s="39"/>
      <c r="U19" s="39"/>
      <c r="V19" s="41"/>
    </row>
    <row r="20" spans="1:22" ht="15" customHeight="1">
      <c r="A20" s="42"/>
      <c r="B20" s="32"/>
      <c r="C20" s="33"/>
      <c r="D20" s="33"/>
      <c r="E20" s="33"/>
      <c r="F20" s="33"/>
      <c r="G20" s="33"/>
      <c r="H20" s="33"/>
      <c r="I20" s="33"/>
      <c r="J20" s="33"/>
      <c r="K20" s="43"/>
      <c r="L20" s="38" t="s">
        <v>11</v>
      </c>
      <c r="M20" s="38"/>
      <c r="N20" s="38"/>
      <c r="O20" s="38" t="s">
        <v>69</v>
      </c>
      <c r="P20" s="38"/>
      <c r="Q20" s="38"/>
      <c r="R20" s="38"/>
      <c r="S20" s="38" t="s">
        <v>11</v>
      </c>
      <c r="T20" s="40"/>
      <c r="U20" s="38" t="s">
        <v>69</v>
      </c>
      <c r="V20" s="44"/>
    </row>
    <row r="21" spans="1:22" ht="12" customHeight="1">
      <c r="A21" s="45"/>
      <c r="B21" s="38" t="s">
        <v>57</v>
      </c>
      <c r="C21" s="48"/>
      <c r="D21" s="48"/>
      <c r="E21" s="48"/>
      <c r="F21" s="48"/>
      <c r="G21" s="48"/>
      <c r="H21" s="48"/>
      <c r="I21" s="48"/>
      <c r="J21" s="48"/>
      <c r="K21" s="50" t="s">
        <v>39</v>
      </c>
      <c r="L21" s="38" t="s">
        <v>23</v>
      </c>
      <c r="M21" s="48"/>
      <c r="N21" s="48"/>
      <c r="O21" s="38" t="s">
        <v>1</v>
      </c>
      <c r="P21" s="48"/>
      <c r="Q21" s="48"/>
      <c r="R21" s="48"/>
      <c r="S21" s="38" t="s">
        <v>55</v>
      </c>
      <c r="T21" s="48"/>
      <c r="U21" s="38" t="s">
        <v>37</v>
      </c>
      <c r="V21" s="41"/>
    </row>
    <row r="22" spans="1:23" ht="21.75" customHeight="1">
      <c r="A22" s="46"/>
      <c r="B22" s="47" t="s">
        <v>70</v>
      </c>
      <c r="C22" s="49"/>
      <c r="D22" s="49"/>
      <c r="E22" s="14"/>
      <c r="F22" s="14"/>
      <c r="G22" s="14"/>
      <c r="H22" s="14"/>
      <c r="I22" s="14"/>
      <c r="J22" s="49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4" ht="14.25" customHeight="1">
      <c r="A23" s="56">
        <v>1010</v>
      </c>
      <c r="B23" s="57" t="s">
        <v>49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159">
        <f>291.5+773.7</f>
        <v>1065.2</v>
      </c>
      <c r="M23" s="159"/>
      <c r="N23" s="60"/>
      <c r="O23" s="158"/>
      <c r="P23" s="158"/>
      <c r="Q23" s="158"/>
      <c r="R23" s="159"/>
      <c r="S23" s="158"/>
      <c r="T23" s="159"/>
      <c r="U23" s="160"/>
      <c r="V23" s="159"/>
      <c r="W23" s="55"/>
      <c r="X23">
        <v>1065.2</v>
      </c>
    </row>
    <row r="24" spans="1:24" ht="13.5" customHeight="1">
      <c r="A24" s="56">
        <v>1020</v>
      </c>
      <c r="B24" s="57" t="s">
        <v>59</v>
      </c>
      <c r="C24" s="1"/>
      <c r="D24" s="1"/>
      <c r="E24" s="1"/>
      <c r="F24" s="1"/>
      <c r="G24" s="1"/>
      <c r="H24" s="1"/>
      <c r="I24" s="1"/>
      <c r="J24" s="1"/>
      <c r="K24" s="58" t="s">
        <v>24</v>
      </c>
      <c r="L24" s="161">
        <f>234+510</f>
        <v>744</v>
      </c>
      <c r="M24" s="161"/>
      <c r="N24" s="61"/>
      <c r="O24" s="163"/>
      <c r="P24" s="163"/>
      <c r="Q24" s="163"/>
      <c r="R24" s="161"/>
      <c r="S24" s="163"/>
      <c r="T24" s="161"/>
      <c r="U24" s="164"/>
      <c r="V24" s="161"/>
      <c r="W24" s="55"/>
      <c r="X24">
        <v>744</v>
      </c>
    </row>
    <row r="25" spans="1:24" ht="13.5" customHeight="1">
      <c r="A25" s="56">
        <v>1030</v>
      </c>
      <c r="B25" s="57" t="s">
        <v>16</v>
      </c>
      <c r="C25" s="1"/>
      <c r="D25" s="1"/>
      <c r="E25" s="1"/>
      <c r="F25" s="1"/>
      <c r="G25" s="1"/>
      <c r="H25" s="1"/>
      <c r="I25" s="1"/>
      <c r="J25" s="1"/>
      <c r="K25" s="58" t="s">
        <v>24</v>
      </c>
      <c r="L25" s="159">
        <f>413.6+1059</f>
        <v>1472.6</v>
      </c>
      <c r="M25" s="159"/>
      <c r="N25" s="60"/>
      <c r="O25" s="158"/>
      <c r="P25" s="158"/>
      <c r="Q25" s="158"/>
      <c r="R25" s="159"/>
      <c r="S25" s="158"/>
      <c r="T25" s="159"/>
      <c r="U25" s="160"/>
      <c r="V25" s="159"/>
      <c r="W25" s="55"/>
      <c r="X25">
        <v>1472.6</v>
      </c>
    </row>
    <row r="26" spans="1:24" ht="13.5" customHeight="1">
      <c r="A26" s="56">
        <v>1040</v>
      </c>
      <c r="B26" s="57" t="s">
        <v>27</v>
      </c>
      <c r="C26" s="1"/>
      <c r="D26" s="1"/>
      <c r="E26" s="1"/>
      <c r="F26" s="1"/>
      <c r="G26" s="1"/>
      <c r="H26" s="1"/>
      <c r="I26" s="1"/>
      <c r="J26" s="1"/>
      <c r="K26" s="58" t="s">
        <v>24</v>
      </c>
      <c r="L26" s="161">
        <f>28780+37941</f>
        <v>66721</v>
      </c>
      <c r="M26" s="161"/>
      <c r="N26" s="61"/>
      <c r="O26" s="158"/>
      <c r="P26" s="158"/>
      <c r="Q26" s="158"/>
      <c r="R26" s="159"/>
      <c r="S26" s="158"/>
      <c r="T26" s="159"/>
      <c r="U26" s="160"/>
      <c r="V26" s="159"/>
      <c r="W26" s="55"/>
      <c r="X26">
        <v>66721</v>
      </c>
    </row>
    <row r="27" spans="1:24" ht="13.5" customHeight="1">
      <c r="A27" s="56">
        <v>1050</v>
      </c>
      <c r="B27" s="57" t="s">
        <v>8</v>
      </c>
      <c r="C27" s="1"/>
      <c r="D27" s="1"/>
      <c r="E27" s="1"/>
      <c r="F27" s="1"/>
      <c r="G27" s="1"/>
      <c r="H27" s="1"/>
      <c r="I27" s="1"/>
      <c r="J27" s="1"/>
      <c r="K27" s="58" t="s">
        <v>24</v>
      </c>
      <c r="L27" s="159">
        <f>10.014+18.962+1.9+5.5</f>
        <v>36.376</v>
      </c>
      <c r="M27" s="159"/>
      <c r="N27" s="60"/>
      <c r="O27" s="158"/>
      <c r="P27" s="158"/>
      <c r="Q27" s="158"/>
      <c r="R27" s="159"/>
      <c r="S27" s="158"/>
      <c r="T27" s="159"/>
      <c r="U27" s="160"/>
      <c r="V27" s="159"/>
      <c r="W27" s="55"/>
      <c r="X27">
        <v>36.376</v>
      </c>
    </row>
    <row r="28" spans="1:24" ht="13.5" customHeight="1">
      <c r="A28" s="56">
        <v>1060</v>
      </c>
      <c r="B28" s="57" t="s">
        <v>64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159">
        <f>35274.4+61284.1</f>
        <v>96558.5</v>
      </c>
      <c r="M28" s="159"/>
      <c r="N28" s="60"/>
      <c r="O28" s="158"/>
      <c r="P28" s="158"/>
      <c r="Q28" s="158"/>
      <c r="R28" s="159"/>
      <c r="S28" s="158"/>
      <c r="T28" s="159"/>
      <c r="U28" s="160"/>
      <c r="V28" s="159"/>
      <c r="W28" s="55"/>
      <c r="X28">
        <v>96558.5</v>
      </c>
    </row>
    <row r="29" spans="1:24" ht="13.5" customHeight="1">
      <c r="A29" s="56">
        <v>1070</v>
      </c>
      <c r="B29" s="57" t="s">
        <v>41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159">
        <f>47597.2+90884.6</f>
        <v>138481.8</v>
      </c>
      <c r="M29" s="159"/>
      <c r="N29" s="60"/>
      <c r="O29" s="158"/>
      <c r="P29" s="158"/>
      <c r="Q29" s="158"/>
      <c r="R29" s="159"/>
      <c r="S29" s="158"/>
      <c r="T29" s="159"/>
      <c r="U29" s="160"/>
      <c r="V29" s="159"/>
      <c r="W29" s="55"/>
      <c r="X29">
        <v>138481.8</v>
      </c>
    </row>
    <row r="30" spans="1:23" ht="13.5" customHeight="1">
      <c r="A30" s="56">
        <v>1080</v>
      </c>
      <c r="B30" s="57" t="s">
        <v>14</v>
      </c>
      <c r="C30" s="1"/>
      <c r="D30" s="1"/>
      <c r="E30" s="1"/>
      <c r="F30" s="1"/>
      <c r="G30" s="1"/>
      <c r="H30" s="1"/>
      <c r="I30" s="1"/>
      <c r="J30" s="1"/>
      <c r="K30" s="58" t="s">
        <v>56</v>
      </c>
      <c r="L30" s="162">
        <f>L28/L29</f>
        <v>0.6972649113457509</v>
      </c>
      <c r="M30" s="162"/>
      <c r="N30" s="62"/>
      <c r="O30" s="158"/>
      <c r="P30" s="158"/>
      <c r="Q30" s="158"/>
      <c r="R30" s="159"/>
      <c r="S30" s="158"/>
      <c r="T30" s="159"/>
      <c r="U30" s="160"/>
      <c r="V30" s="159"/>
      <c r="W30" s="55"/>
    </row>
    <row r="31" spans="1:23" ht="13.5" customHeight="1">
      <c r="A31" s="56"/>
      <c r="B31" s="57" t="s">
        <v>33</v>
      </c>
      <c r="C31" s="1"/>
      <c r="D31" s="1"/>
      <c r="E31" s="1"/>
      <c r="F31" s="1"/>
      <c r="G31" s="1"/>
      <c r="H31" s="1"/>
      <c r="I31" s="1"/>
      <c r="J31" s="1"/>
      <c r="K31" s="58"/>
      <c r="L31" s="59"/>
      <c r="M31" s="60"/>
      <c r="N31" s="60"/>
      <c r="O31" s="158"/>
      <c r="P31" s="158"/>
      <c r="Q31" s="158"/>
      <c r="R31" s="159"/>
      <c r="S31" s="158"/>
      <c r="T31" s="159"/>
      <c r="U31" s="160"/>
      <c r="V31" s="159"/>
      <c r="W31" s="55"/>
    </row>
    <row r="32" spans="1:24" ht="13.5" customHeight="1">
      <c r="A32" s="56">
        <v>1091</v>
      </c>
      <c r="B32" s="57"/>
      <c r="C32" s="1" t="s">
        <v>54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159">
        <f>3527.4+6128.7</f>
        <v>9656.1</v>
      </c>
      <c r="M32" s="159"/>
      <c r="N32" s="60"/>
      <c r="O32" s="158"/>
      <c r="P32" s="158"/>
      <c r="Q32" s="158"/>
      <c r="R32" s="159"/>
      <c r="S32" s="158"/>
      <c r="T32" s="159"/>
      <c r="U32" s="160"/>
      <c r="V32" s="159"/>
      <c r="W32" s="55"/>
      <c r="X32">
        <v>9656.1</v>
      </c>
    </row>
    <row r="33" spans="1:24" ht="13.5" customHeight="1">
      <c r="A33" s="56">
        <v>1092</v>
      </c>
      <c r="B33" s="57"/>
      <c r="C33" s="1" t="s">
        <v>47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159">
        <f>11.9+32.8</f>
        <v>44.699999999999996</v>
      </c>
      <c r="M33" s="159"/>
      <c r="N33" s="60"/>
      <c r="O33" s="158"/>
      <c r="P33" s="158"/>
      <c r="Q33" s="158"/>
      <c r="R33" s="159"/>
      <c r="S33" s="158"/>
      <c r="T33" s="159"/>
      <c r="U33" s="160"/>
      <c r="V33" s="159"/>
      <c r="W33" s="55"/>
      <c r="X33">
        <v>44.699999999999996</v>
      </c>
    </row>
    <row r="34" spans="1:24" ht="13.5" customHeight="1">
      <c r="A34" s="56">
        <v>1093</v>
      </c>
      <c r="B34" s="57"/>
      <c r="C34" s="1" t="s">
        <v>25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159">
        <f>2.2+7.7</f>
        <v>9.9</v>
      </c>
      <c r="M34" s="159"/>
      <c r="N34" s="60"/>
      <c r="O34" s="158"/>
      <c r="P34" s="158"/>
      <c r="Q34" s="158"/>
      <c r="R34" s="159"/>
      <c r="S34" s="158"/>
      <c r="T34" s="159"/>
      <c r="U34" s="160"/>
      <c r="V34" s="159"/>
      <c r="W34" s="55"/>
      <c r="X34">
        <v>9.9</v>
      </c>
    </row>
    <row r="35" spans="1:24" ht="13.5" customHeight="1">
      <c r="A35" s="56">
        <v>1094</v>
      </c>
      <c r="B35" s="57"/>
      <c r="C35" s="1" t="s">
        <v>0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159">
        <f>L32+L33+L34</f>
        <v>9710.7</v>
      </c>
      <c r="M35" s="159"/>
      <c r="N35" s="60"/>
      <c r="O35" s="158"/>
      <c r="P35" s="158"/>
      <c r="Q35" s="158"/>
      <c r="R35" s="159"/>
      <c r="S35" s="158"/>
      <c r="T35" s="159"/>
      <c r="U35" s="160"/>
      <c r="V35" s="159"/>
      <c r="W35" s="55"/>
      <c r="X35">
        <v>9710.7</v>
      </c>
    </row>
    <row r="36" spans="1:24" ht="13.5" customHeight="1">
      <c r="A36" s="56">
        <v>1100</v>
      </c>
      <c r="B36" s="57" t="s">
        <v>44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159">
        <f>4921.1+10401.3</f>
        <v>15322.4</v>
      </c>
      <c r="M36" s="159"/>
      <c r="N36" s="60"/>
      <c r="O36" s="158"/>
      <c r="P36" s="158"/>
      <c r="Q36" s="158"/>
      <c r="R36" s="159"/>
      <c r="S36" s="158"/>
      <c r="T36" s="159"/>
      <c r="U36" s="160"/>
      <c r="V36" s="159"/>
      <c r="W36" s="55"/>
      <c r="X36">
        <v>15322.4</v>
      </c>
    </row>
    <row r="37" spans="1:23" ht="13.5" customHeight="1">
      <c r="A37" s="56">
        <v>1110</v>
      </c>
      <c r="B37" s="57" t="s">
        <v>15</v>
      </c>
      <c r="C37" s="1"/>
      <c r="D37" s="1"/>
      <c r="E37" s="1"/>
      <c r="F37" s="1"/>
      <c r="G37" s="1"/>
      <c r="H37" s="1"/>
      <c r="I37" s="1"/>
      <c r="J37" s="1"/>
      <c r="K37" s="58" t="s">
        <v>56</v>
      </c>
      <c r="L37" s="162">
        <f>L35/L36</f>
        <v>0.6337584190466247</v>
      </c>
      <c r="M37" s="162"/>
      <c r="N37" s="62"/>
      <c r="O37" s="158"/>
      <c r="P37" s="158"/>
      <c r="Q37" s="158"/>
      <c r="R37" s="159"/>
      <c r="S37" s="158"/>
      <c r="T37" s="159"/>
      <c r="U37" s="160"/>
      <c r="V37" s="159"/>
      <c r="W37" s="55"/>
    </row>
    <row r="38" spans="1:23" ht="11.25" customHeight="1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59"/>
      <c r="M38" s="60"/>
      <c r="N38" s="60"/>
      <c r="O38" s="158"/>
      <c r="P38" s="158"/>
      <c r="Q38" s="158"/>
      <c r="R38" s="159"/>
      <c r="S38" s="158"/>
      <c r="T38" s="159"/>
      <c r="U38" s="160"/>
      <c r="V38" s="159"/>
      <c r="W38" s="55"/>
    </row>
    <row r="39" spans="1:23" ht="13.5" customHeight="1">
      <c r="A39" s="56"/>
      <c r="B39" s="63" t="s">
        <v>62</v>
      </c>
      <c r="C39" s="1"/>
      <c r="D39" s="1"/>
      <c r="E39" s="1"/>
      <c r="F39" s="1"/>
      <c r="G39" s="1"/>
      <c r="H39" s="1"/>
      <c r="I39" s="1"/>
      <c r="J39" s="1"/>
      <c r="K39" s="58"/>
      <c r="L39" s="64"/>
      <c r="M39" s="65"/>
      <c r="N39" s="65"/>
      <c r="O39" s="64"/>
      <c r="P39" s="65"/>
      <c r="Q39" s="65"/>
      <c r="R39" s="65"/>
      <c r="S39" s="64"/>
      <c r="T39" s="65"/>
      <c r="U39" s="64"/>
      <c r="V39" s="65"/>
      <c r="W39" s="55"/>
    </row>
    <row r="40" spans="1:24" ht="13.5" customHeight="1">
      <c r="A40" s="56">
        <v>2010</v>
      </c>
      <c r="B40" s="57" t="s">
        <v>29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159">
        <f>4.6+0</f>
        <v>4.6</v>
      </c>
      <c r="M40" s="159"/>
      <c r="N40" s="60"/>
      <c r="O40" s="158"/>
      <c r="P40" s="158"/>
      <c r="Q40" s="158"/>
      <c r="R40" s="159"/>
      <c r="S40" s="158"/>
      <c r="T40" s="159"/>
      <c r="U40" s="160"/>
      <c r="V40" s="159"/>
      <c r="W40" s="55"/>
      <c r="X40">
        <v>4.6</v>
      </c>
    </row>
    <row r="41" spans="1:24" ht="13.5" customHeight="1">
      <c r="A41" s="56">
        <v>2020</v>
      </c>
      <c r="B41" s="57" t="s">
        <v>51</v>
      </c>
      <c r="C41" s="1"/>
      <c r="D41" s="66"/>
      <c r="E41" s="1"/>
      <c r="F41" s="1"/>
      <c r="G41" s="1"/>
      <c r="H41" s="1"/>
      <c r="I41" s="1"/>
      <c r="J41" s="1"/>
      <c r="K41" s="58" t="s">
        <v>24</v>
      </c>
      <c r="L41" s="161">
        <f>4+0</f>
        <v>4</v>
      </c>
      <c r="M41" s="161"/>
      <c r="N41" s="60"/>
      <c r="O41" s="158"/>
      <c r="P41" s="158"/>
      <c r="Q41" s="158"/>
      <c r="R41" s="159"/>
      <c r="S41" s="158"/>
      <c r="T41" s="159"/>
      <c r="U41" s="160"/>
      <c r="V41" s="159"/>
      <c r="W41" s="55"/>
      <c r="X41">
        <v>4</v>
      </c>
    </row>
    <row r="42" spans="1:24" ht="13.5" customHeight="1">
      <c r="A42" s="56">
        <v>2030</v>
      </c>
      <c r="B42" s="57" t="s">
        <v>34</v>
      </c>
      <c r="C42" s="1"/>
      <c r="D42" s="1"/>
      <c r="E42" s="1"/>
      <c r="F42" s="1"/>
      <c r="G42" s="1"/>
      <c r="H42" s="1"/>
      <c r="I42" s="1"/>
      <c r="J42" s="1"/>
      <c r="K42" s="58" t="s">
        <v>24</v>
      </c>
      <c r="L42" s="159">
        <f>7.3+0</f>
        <v>7.3</v>
      </c>
      <c r="M42" s="159"/>
      <c r="N42" s="60"/>
      <c r="O42" s="158"/>
      <c r="P42" s="158"/>
      <c r="Q42" s="158"/>
      <c r="R42" s="159"/>
      <c r="S42" s="158"/>
      <c r="T42" s="159"/>
      <c r="U42" s="160"/>
      <c r="V42" s="159"/>
      <c r="W42" s="55"/>
      <c r="X42">
        <v>7.3</v>
      </c>
    </row>
    <row r="43" spans="1:24" ht="13.5" customHeight="1">
      <c r="A43" s="56">
        <v>2040</v>
      </c>
      <c r="B43" s="57" t="s">
        <v>71</v>
      </c>
      <c r="C43" s="1"/>
      <c r="D43" s="1"/>
      <c r="E43" s="1"/>
      <c r="F43" s="1"/>
      <c r="G43" s="1"/>
      <c r="H43" s="1"/>
      <c r="I43" s="1"/>
      <c r="J43" s="1"/>
      <c r="K43" s="58" t="s">
        <v>24</v>
      </c>
      <c r="L43" s="161">
        <f>24+0</f>
        <v>24</v>
      </c>
      <c r="M43" s="161"/>
      <c r="N43" s="61"/>
      <c r="O43" s="158"/>
      <c r="P43" s="158"/>
      <c r="Q43" s="158"/>
      <c r="R43" s="159"/>
      <c r="S43" s="158"/>
      <c r="T43" s="159"/>
      <c r="U43" s="160"/>
      <c r="V43" s="159"/>
      <c r="W43" s="55"/>
      <c r="X43">
        <v>24</v>
      </c>
    </row>
    <row r="44" spans="1:24" ht="13.5" customHeight="1">
      <c r="A44" s="56">
        <v>2050</v>
      </c>
      <c r="B44" s="57" t="s">
        <v>58</v>
      </c>
      <c r="C44" s="1"/>
      <c r="D44" s="66"/>
      <c r="E44" s="1"/>
      <c r="F44" s="1"/>
      <c r="G44" s="1"/>
      <c r="H44" s="1"/>
      <c r="I44" s="1"/>
      <c r="J44" s="1"/>
      <c r="K44" s="58" t="s">
        <v>24</v>
      </c>
      <c r="L44" s="159">
        <f>0+0+0+0</f>
        <v>0</v>
      </c>
      <c r="M44" s="159"/>
      <c r="N44" s="60"/>
      <c r="O44" s="158"/>
      <c r="P44" s="158"/>
      <c r="Q44" s="158"/>
      <c r="R44" s="159"/>
      <c r="S44" s="158"/>
      <c r="T44" s="159"/>
      <c r="U44" s="160"/>
      <c r="V44" s="159"/>
      <c r="W44" s="55"/>
      <c r="X44">
        <v>0</v>
      </c>
    </row>
    <row r="45" spans="1:24" ht="13.5" customHeight="1">
      <c r="A45" s="56">
        <v>2060</v>
      </c>
      <c r="B45" s="57" t="s">
        <v>22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159">
        <f>27.8+0</f>
        <v>27.8</v>
      </c>
      <c r="M45" s="159"/>
      <c r="N45" s="60"/>
      <c r="O45" s="158"/>
      <c r="P45" s="158"/>
      <c r="Q45" s="158"/>
      <c r="R45" s="159"/>
      <c r="S45" s="158"/>
      <c r="T45" s="159"/>
      <c r="U45" s="160"/>
      <c r="V45" s="159"/>
      <c r="W45" s="55"/>
      <c r="X45">
        <v>27.8</v>
      </c>
    </row>
    <row r="46" spans="1:24" ht="13.5" customHeight="1">
      <c r="A46" s="56">
        <v>2070</v>
      </c>
      <c r="B46" s="57" t="s">
        <v>53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159">
        <f>871.3+0</f>
        <v>871.3</v>
      </c>
      <c r="M46" s="159"/>
      <c r="N46" s="60"/>
      <c r="O46" s="158"/>
      <c r="P46" s="158"/>
      <c r="Q46" s="158"/>
      <c r="R46" s="159"/>
      <c r="S46" s="158"/>
      <c r="T46" s="159"/>
      <c r="U46" s="160"/>
      <c r="V46" s="159"/>
      <c r="W46" s="55"/>
      <c r="X46">
        <v>871.3</v>
      </c>
    </row>
    <row r="47" spans="1:23" ht="13.5" customHeight="1">
      <c r="A47" s="56"/>
      <c r="B47" s="57" t="s">
        <v>13</v>
      </c>
      <c r="C47" s="1" t="s">
        <v>61</v>
      </c>
      <c r="D47" s="1"/>
      <c r="E47" s="1"/>
      <c r="F47" s="1"/>
      <c r="G47" s="1"/>
      <c r="H47" s="1"/>
      <c r="I47" s="1"/>
      <c r="J47" s="1"/>
      <c r="K47" s="58"/>
      <c r="L47" s="59"/>
      <c r="M47" s="60"/>
      <c r="N47" s="60"/>
      <c r="O47" s="158"/>
      <c r="P47" s="158"/>
      <c r="Q47" s="158"/>
      <c r="R47" s="159"/>
      <c r="S47" s="158"/>
      <c r="T47" s="159"/>
      <c r="U47" s="160"/>
      <c r="V47" s="159"/>
      <c r="W47" s="55"/>
    </row>
    <row r="48" spans="1:24" ht="13.5" customHeight="1">
      <c r="A48" s="56">
        <v>2091</v>
      </c>
      <c r="B48" s="57"/>
      <c r="C48" s="1" t="s">
        <v>54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159">
        <f>3.3+0</f>
        <v>3.3</v>
      </c>
      <c r="M48" s="159"/>
      <c r="N48" s="60"/>
      <c r="O48" s="158"/>
      <c r="P48" s="158"/>
      <c r="Q48" s="158"/>
      <c r="R48" s="159"/>
      <c r="S48" s="158"/>
      <c r="T48" s="159"/>
      <c r="U48" s="160"/>
      <c r="V48" s="159"/>
      <c r="W48" s="55"/>
      <c r="X48">
        <v>3.3</v>
      </c>
    </row>
    <row r="49" spans="1:24" ht="13.5" customHeight="1">
      <c r="A49" s="56">
        <v>2092</v>
      </c>
      <c r="B49" s="57"/>
      <c r="C49" s="1" t="s">
        <v>35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159">
        <f>0+0+0+0</f>
        <v>0</v>
      </c>
      <c r="M49" s="159"/>
      <c r="N49" s="60"/>
      <c r="O49" s="158"/>
      <c r="P49" s="158"/>
      <c r="Q49" s="158"/>
      <c r="R49" s="159"/>
      <c r="S49" s="158"/>
      <c r="T49" s="159"/>
      <c r="U49" s="160"/>
      <c r="V49" s="159"/>
      <c r="W49" s="55"/>
      <c r="X49">
        <v>0</v>
      </c>
    </row>
    <row r="50" spans="1:24" ht="13.5" customHeight="1">
      <c r="A50" s="56">
        <v>2094</v>
      </c>
      <c r="B50" s="57"/>
      <c r="C50" s="1" t="s">
        <v>26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159">
        <f>L48+L49</f>
        <v>3.3</v>
      </c>
      <c r="M50" s="159"/>
      <c r="N50" s="60"/>
      <c r="O50" s="158"/>
      <c r="P50" s="158"/>
      <c r="Q50" s="158"/>
      <c r="R50" s="159"/>
      <c r="S50" s="158"/>
      <c r="T50" s="159"/>
      <c r="U50" s="160"/>
      <c r="V50" s="159"/>
      <c r="W50" s="55"/>
      <c r="X50">
        <v>3.3</v>
      </c>
    </row>
    <row r="51" spans="1:24" ht="13.5" customHeight="1">
      <c r="A51" s="56">
        <v>2100</v>
      </c>
      <c r="B51" s="57" t="s">
        <v>31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159">
        <f>79.8+0</f>
        <v>79.8</v>
      </c>
      <c r="M51" s="159"/>
      <c r="N51" s="60"/>
      <c r="O51" s="158"/>
      <c r="P51" s="158"/>
      <c r="Q51" s="158"/>
      <c r="R51" s="159"/>
      <c r="S51" s="158"/>
      <c r="T51" s="159"/>
      <c r="U51" s="160"/>
      <c r="V51" s="159"/>
      <c r="W51" s="55"/>
      <c r="X51">
        <v>79.8</v>
      </c>
    </row>
    <row r="52" spans="1:23" ht="10.5" customHeight="1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59"/>
      <c r="M52" s="60"/>
      <c r="N52" s="60"/>
      <c r="O52" s="158"/>
      <c r="P52" s="158"/>
      <c r="Q52" s="158"/>
      <c r="R52" s="159"/>
      <c r="S52" s="158"/>
      <c r="T52" s="159"/>
      <c r="U52" s="160"/>
      <c r="V52" s="159"/>
      <c r="W52" s="55"/>
    </row>
    <row r="53" spans="1:23" ht="13.5" customHeight="1">
      <c r="A53" s="56"/>
      <c r="B53" s="63" t="s">
        <v>66</v>
      </c>
      <c r="C53" s="1"/>
      <c r="D53" s="1"/>
      <c r="E53" s="1"/>
      <c r="F53" s="1"/>
      <c r="G53" s="1"/>
      <c r="H53" s="1"/>
      <c r="I53" s="1"/>
      <c r="J53" s="1"/>
      <c r="K53" s="58"/>
      <c r="L53" s="64"/>
      <c r="M53" s="65"/>
      <c r="N53" s="65"/>
      <c r="O53" s="64"/>
      <c r="P53" s="65"/>
      <c r="Q53" s="65"/>
      <c r="R53" s="65"/>
      <c r="S53" s="64"/>
      <c r="T53" s="65"/>
      <c r="U53" s="64"/>
      <c r="V53" s="65"/>
      <c r="W53" s="55"/>
    </row>
    <row r="54" spans="1:23" ht="13.5" customHeight="1">
      <c r="A54" s="56">
        <v>2330</v>
      </c>
      <c r="B54" s="57" t="s">
        <v>68</v>
      </c>
      <c r="C54" s="1"/>
      <c r="D54" s="1"/>
      <c r="E54" s="1"/>
      <c r="F54" s="1"/>
      <c r="G54" s="1"/>
      <c r="H54" s="1"/>
      <c r="I54" s="1"/>
      <c r="J54" s="1"/>
      <c r="K54" s="58" t="s">
        <v>24</v>
      </c>
      <c r="L54" s="159">
        <f>3.7+5.5</f>
        <v>9.2</v>
      </c>
      <c r="M54" s="159"/>
      <c r="N54" s="60"/>
      <c r="O54" s="158"/>
      <c r="P54" s="158"/>
      <c r="Q54" s="158"/>
      <c r="R54" s="159"/>
      <c r="S54" s="158"/>
      <c r="T54" s="159"/>
      <c r="U54" s="160"/>
      <c r="V54" s="159"/>
      <c r="W54" s="55"/>
    </row>
    <row r="55" spans="1:23" ht="10.5" customHeight="1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72"/>
      <c r="M55" s="2"/>
      <c r="N55" s="69"/>
      <c r="O55" s="68"/>
      <c r="P55" s="2"/>
      <c r="Q55" s="2"/>
      <c r="R55" s="2"/>
      <c r="S55" s="72"/>
      <c r="T55" s="2"/>
      <c r="U55" s="72"/>
      <c r="V55" s="2"/>
      <c r="W55" s="55"/>
    </row>
    <row r="56" spans="1:23" ht="24.75" customHeight="1" thickBot="1">
      <c r="A56" s="73" t="s">
        <v>50</v>
      </c>
      <c r="B56" s="75"/>
      <c r="C56" s="77"/>
      <c r="D56" s="77"/>
      <c r="E56" s="78"/>
      <c r="F56" s="78"/>
      <c r="G56" s="78"/>
      <c r="H56" s="78"/>
      <c r="I56" s="78"/>
      <c r="J56" s="78"/>
      <c r="K56" s="79"/>
      <c r="L56" s="79"/>
      <c r="M56" s="79"/>
      <c r="N56" s="78"/>
      <c r="O56" s="78"/>
      <c r="P56" s="71"/>
      <c r="Q56" s="71"/>
      <c r="R56" s="71"/>
      <c r="S56" s="71"/>
      <c r="T56" s="71"/>
      <c r="U56" s="71"/>
      <c r="V56" s="71"/>
      <c r="W56" s="55"/>
    </row>
    <row r="57" spans="1:15" ht="12.75" customHeight="1">
      <c r="A57" s="74"/>
      <c r="B57" s="76"/>
      <c r="C57" s="74"/>
      <c r="D57" s="76"/>
      <c r="E57" s="74"/>
      <c r="F57" s="74"/>
      <c r="G57" s="74"/>
      <c r="H57" s="74"/>
      <c r="I57" s="74"/>
      <c r="J57" s="74"/>
      <c r="K57" s="80"/>
      <c r="L57" s="81"/>
      <c r="M57" s="81"/>
      <c r="N57" s="74"/>
      <c r="O57" s="74"/>
    </row>
  </sheetData>
  <sheetProtection/>
  <mergeCells count="116">
    <mergeCell ref="L23:M23"/>
    <mergeCell ref="O23:R23"/>
    <mergeCell ref="S23:T23"/>
    <mergeCell ref="U23:V23"/>
    <mergeCell ref="L24:M24"/>
    <mergeCell ref="O24:R24"/>
    <mergeCell ref="S24:T24"/>
    <mergeCell ref="U24:V24"/>
    <mergeCell ref="L25:M25"/>
    <mergeCell ref="O25:R25"/>
    <mergeCell ref="S25:T25"/>
    <mergeCell ref="U25:V25"/>
    <mergeCell ref="L26:M26"/>
    <mergeCell ref="O26:R26"/>
    <mergeCell ref="S26:T26"/>
    <mergeCell ref="U26:V26"/>
    <mergeCell ref="L27:M27"/>
    <mergeCell ref="O27:R27"/>
    <mergeCell ref="S27:T27"/>
    <mergeCell ref="U27:V27"/>
    <mergeCell ref="L28:M28"/>
    <mergeCell ref="O28:R28"/>
    <mergeCell ref="S28:T28"/>
    <mergeCell ref="U28:V28"/>
    <mergeCell ref="L29:M29"/>
    <mergeCell ref="O29:R29"/>
    <mergeCell ref="S29:T29"/>
    <mergeCell ref="U29:V29"/>
    <mergeCell ref="L30:M30"/>
    <mergeCell ref="O30:R30"/>
    <mergeCell ref="S30:T30"/>
    <mergeCell ref="U30:V30"/>
    <mergeCell ref="O31:R31"/>
    <mergeCell ref="S31:T31"/>
    <mergeCell ref="U31:V31"/>
    <mergeCell ref="L32:M32"/>
    <mergeCell ref="O32:R32"/>
    <mergeCell ref="S32:T32"/>
    <mergeCell ref="U32:V32"/>
    <mergeCell ref="L33:M33"/>
    <mergeCell ref="O33:R33"/>
    <mergeCell ref="S33:T33"/>
    <mergeCell ref="U33:V33"/>
    <mergeCell ref="L34:M34"/>
    <mergeCell ref="O34:R34"/>
    <mergeCell ref="S34:T34"/>
    <mergeCell ref="U34:V34"/>
    <mergeCell ref="L35:M35"/>
    <mergeCell ref="O35:R35"/>
    <mergeCell ref="S35:T35"/>
    <mergeCell ref="U35:V35"/>
    <mergeCell ref="L36:M36"/>
    <mergeCell ref="O36:R36"/>
    <mergeCell ref="S36:T36"/>
    <mergeCell ref="U36:V36"/>
    <mergeCell ref="L37:M37"/>
    <mergeCell ref="O37:R37"/>
    <mergeCell ref="S37:T37"/>
    <mergeCell ref="U37:V37"/>
    <mergeCell ref="O38:R38"/>
    <mergeCell ref="S38:T38"/>
    <mergeCell ref="U38:V38"/>
    <mergeCell ref="L40:M40"/>
    <mergeCell ref="O40:R40"/>
    <mergeCell ref="S40:T40"/>
    <mergeCell ref="U40:V40"/>
    <mergeCell ref="L41:M41"/>
    <mergeCell ref="O41:R41"/>
    <mergeCell ref="S41:T41"/>
    <mergeCell ref="U41:V41"/>
    <mergeCell ref="L42:M42"/>
    <mergeCell ref="O42:R42"/>
    <mergeCell ref="S42:T42"/>
    <mergeCell ref="U42:V42"/>
    <mergeCell ref="L43:M43"/>
    <mergeCell ref="O43:R43"/>
    <mergeCell ref="S43:T43"/>
    <mergeCell ref="U43:V43"/>
    <mergeCell ref="L44:M44"/>
    <mergeCell ref="O44:R44"/>
    <mergeCell ref="S44:T44"/>
    <mergeCell ref="U44:V44"/>
    <mergeCell ref="L45:M45"/>
    <mergeCell ref="O45:R45"/>
    <mergeCell ref="S45:T45"/>
    <mergeCell ref="U45:V45"/>
    <mergeCell ref="L46:M46"/>
    <mergeCell ref="O46:R46"/>
    <mergeCell ref="S46:T46"/>
    <mergeCell ref="U46:V46"/>
    <mergeCell ref="O47:R47"/>
    <mergeCell ref="S47:T47"/>
    <mergeCell ref="U47:V47"/>
    <mergeCell ref="L48:M48"/>
    <mergeCell ref="O48:R48"/>
    <mergeCell ref="S48:T48"/>
    <mergeCell ref="U48:V48"/>
    <mergeCell ref="L49:M49"/>
    <mergeCell ref="O49:R49"/>
    <mergeCell ref="S49:T49"/>
    <mergeCell ref="U49:V49"/>
    <mergeCell ref="L50:M50"/>
    <mergeCell ref="O50:R50"/>
    <mergeCell ref="S50:T50"/>
    <mergeCell ref="U50:V50"/>
    <mergeCell ref="L51:M51"/>
    <mergeCell ref="O51:R51"/>
    <mergeCell ref="S51:T51"/>
    <mergeCell ref="U51:V51"/>
    <mergeCell ref="O52:R52"/>
    <mergeCell ref="S52:T52"/>
    <mergeCell ref="U52:V52"/>
    <mergeCell ref="L54:M54"/>
    <mergeCell ref="O54:R54"/>
    <mergeCell ref="S54:T54"/>
    <mergeCell ref="U54:V5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showZeros="0" zoomScalePageLayoutView="0" workbookViewId="0" topLeftCell="A16">
      <selection activeCell="AC47" sqref="AC47"/>
    </sheetView>
  </sheetViews>
  <sheetFormatPr defaultColWidth="9.140625" defaultRowHeight="12.75"/>
  <cols>
    <col min="1" max="1" width="12.8515625" style="0" customWidth="1"/>
    <col min="2" max="2" width="2.57421875" style="0" customWidth="1"/>
    <col min="3" max="3" width="2.7109375" style="0" customWidth="1"/>
    <col min="4" max="5" width="4.140625" style="0" customWidth="1"/>
    <col min="6" max="6" width="6.57421875" style="0" customWidth="1"/>
    <col min="7" max="7" width="7.140625" style="0" customWidth="1"/>
    <col min="8" max="8" width="6.8515625" style="0" customWidth="1"/>
    <col min="9" max="9" width="3.421875" style="0" customWidth="1"/>
    <col min="10" max="10" width="2.8515625" style="0" customWidth="1"/>
    <col min="11" max="11" width="8.421875" style="0" customWidth="1"/>
    <col min="12" max="12" width="7.28125" style="0" customWidth="1"/>
    <col min="13" max="13" width="4.7109375" style="0" customWidth="1"/>
    <col min="14" max="14" width="1.28515625" style="0" customWidth="1"/>
    <col min="15" max="18" width="3.28125" style="0" customWidth="1"/>
    <col min="19" max="22" width="6.57421875" style="0" customWidth="1"/>
    <col min="23" max="23" width="0.7187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48</v>
      </c>
    </row>
    <row r="2" spans="1:22" ht="14.25" customHeight="1">
      <c r="A2" s="5" t="s">
        <v>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>
      <c r="A3" s="5" t="s">
        <v>7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>
      <c r="A4" s="5" t="s">
        <v>45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7" t="s">
        <v>4</v>
      </c>
      <c r="B9" s="8" t="s">
        <v>43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9</v>
      </c>
      <c r="P9" s="9"/>
      <c r="Q9" s="9"/>
      <c r="R9" s="9"/>
      <c r="S9" s="9"/>
      <c r="T9" s="9"/>
      <c r="U9" s="1"/>
      <c r="V9" s="1"/>
    </row>
    <row r="10" spans="1:22" ht="14.25" customHeight="1">
      <c r="A10" s="7" t="s">
        <v>18</v>
      </c>
      <c r="B10" s="11" t="s">
        <v>52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67</v>
      </c>
      <c r="O10" s="11" t="s">
        <v>52</v>
      </c>
      <c r="P10" s="12"/>
      <c r="Q10" s="12"/>
      <c r="R10" s="12"/>
      <c r="S10" s="12"/>
      <c r="T10" s="12"/>
      <c r="U10" s="1"/>
      <c r="V10" s="1"/>
    </row>
    <row r="11" spans="1:22" ht="14.25" customHeight="1">
      <c r="A11" s="7" t="s">
        <v>12</v>
      </c>
      <c r="B11" s="12" t="s">
        <v>30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>
      <c r="A12" s="7" t="s">
        <v>46</v>
      </c>
      <c r="B12" s="12" t="s">
        <v>19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60</v>
      </c>
      <c r="O12" s="5" t="s">
        <v>75</v>
      </c>
      <c r="P12" s="9"/>
      <c r="Q12" s="9"/>
      <c r="R12" s="9"/>
      <c r="S12" s="9"/>
      <c r="T12" s="9"/>
      <c r="U12" s="1"/>
      <c r="V12" s="1"/>
    </row>
    <row r="13" spans="1:22" ht="14.25" customHeight="1">
      <c r="A13" s="7" t="s">
        <v>40</v>
      </c>
      <c r="B13" s="12" t="s">
        <v>65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21</v>
      </c>
      <c r="O13" s="11">
        <v>2017</v>
      </c>
      <c r="P13" s="12"/>
      <c r="Q13" s="12"/>
      <c r="R13" s="12"/>
      <c r="S13" s="12"/>
      <c r="T13" s="12"/>
      <c r="U13" s="1"/>
      <c r="V13" s="1"/>
    </row>
    <row r="14" spans="1:22" ht="18" customHeight="1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</v>
      </c>
      <c r="M16" s="21"/>
      <c r="N16" s="22"/>
      <c r="O16" s="22"/>
      <c r="P16" s="22"/>
      <c r="Q16" s="22"/>
      <c r="R16" s="22"/>
      <c r="S16" s="20" t="s">
        <v>63</v>
      </c>
      <c r="T16" s="22"/>
      <c r="U16" s="22"/>
      <c r="V16" s="23"/>
    </row>
    <row r="17" spans="1:22" ht="15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28</v>
      </c>
      <c r="M17" s="29"/>
      <c r="N17" s="29"/>
      <c r="O17" s="30"/>
      <c r="P17" s="30"/>
      <c r="Q17" s="29"/>
      <c r="R17" s="29"/>
      <c r="S17" s="28" t="s">
        <v>72</v>
      </c>
      <c r="T17" s="29"/>
      <c r="U17" s="29"/>
      <c r="V17" s="31"/>
    </row>
    <row r="18" spans="1:22" ht="12.75" customHeight="1">
      <c r="A18" s="24" t="s">
        <v>42</v>
      </c>
      <c r="B18" s="25" t="s">
        <v>36</v>
      </c>
      <c r="C18" s="26"/>
      <c r="D18" s="26"/>
      <c r="E18" s="26"/>
      <c r="F18" s="26"/>
      <c r="G18" s="26"/>
      <c r="H18" s="26"/>
      <c r="I18" s="26"/>
      <c r="J18" s="26"/>
      <c r="K18" s="27" t="s">
        <v>20</v>
      </c>
      <c r="L18" s="34" t="s">
        <v>32</v>
      </c>
      <c r="M18" s="35"/>
      <c r="N18" s="35"/>
      <c r="O18" s="36"/>
      <c r="P18" s="36"/>
      <c r="Q18" s="35"/>
      <c r="R18" s="35"/>
      <c r="S18" s="34" t="s">
        <v>38</v>
      </c>
      <c r="T18" s="35"/>
      <c r="U18" s="35"/>
      <c r="V18" s="37"/>
    </row>
    <row r="19" spans="1:22" ht="15" customHeight="1">
      <c r="A19" s="24" t="s">
        <v>3</v>
      </c>
      <c r="B19" s="32"/>
      <c r="C19" s="33"/>
      <c r="D19" s="33"/>
      <c r="E19" s="33"/>
      <c r="F19" s="33"/>
      <c r="G19" s="33"/>
      <c r="H19" s="33"/>
      <c r="I19" s="33"/>
      <c r="J19" s="33"/>
      <c r="K19" s="27"/>
      <c r="L19" s="38" t="s">
        <v>10</v>
      </c>
      <c r="M19" s="39"/>
      <c r="N19" s="39"/>
      <c r="O19" s="40"/>
      <c r="P19" s="39"/>
      <c r="Q19" s="39"/>
      <c r="R19" s="39"/>
      <c r="S19" s="38" t="s">
        <v>10</v>
      </c>
      <c r="T19" s="39"/>
      <c r="U19" s="39"/>
      <c r="V19" s="41"/>
    </row>
    <row r="20" spans="1:22" ht="15" customHeight="1">
      <c r="A20" s="42"/>
      <c r="B20" s="32"/>
      <c r="C20" s="33"/>
      <c r="D20" s="33"/>
      <c r="E20" s="33"/>
      <c r="F20" s="33"/>
      <c r="G20" s="33"/>
      <c r="H20" s="33"/>
      <c r="I20" s="33"/>
      <c r="J20" s="33"/>
      <c r="K20" s="43"/>
      <c r="L20" s="38" t="s">
        <v>11</v>
      </c>
      <c r="M20" s="38"/>
      <c r="N20" s="38"/>
      <c r="O20" s="38" t="s">
        <v>69</v>
      </c>
      <c r="P20" s="38"/>
      <c r="Q20" s="38"/>
      <c r="R20" s="38"/>
      <c r="S20" s="38" t="s">
        <v>11</v>
      </c>
      <c r="T20" s="40"/>
      <c r="U20" s="38" t="s">
        <v>69</v>
      </c>
      <c r="V20" s="44"/>
    </row>
    <row r="21" spans="1:22" ht="12" customHeight="1">
      <c r="A21" s="45"/>
      <c r="B21" s="38" t="s">
        <v>57</v>
      </c>
      <c r="C21" s="48"/>
      <c r="D21" s="48"/>
      <c r="E21" s="48"/>
      <c r="F21" s="48"/>
      <c r="G21" s="48"/>
      <c r="H21" s="48"/>
      <c r="I21" s="48"/>
      <c r="J21" s="48"/>
      <c r="K21" s="50" t="s">
        <v>39</v>
      </c>
      <c r="L21" s="38" t="s">
        <v>23</v>
      </c>
      <c r="M21" s="48"/>
      <c r="N21" s="48"/>
      <c r="O21" s="38" t="s">
        <v>1</v>
      </c>
      <c r="P21" s="48"/>
      <c r="Q21" s="48"/>
      <c r="R21" s="48"/>
      <c r="S21" s="38" t="s">
        <v>55</v>
      </c>
      <c r="T21" s="48"/>
      <c r="U21" s="38" t="s">
        <v>37</v>
      </c>
      <c r="V21" s="41"/>
    </row>
    <row r="22" spans="1:23" ht="21.75" customHeight="1">
      <c r="A22" s="46"/>
      <c r="B22" s="47" t="s">
        <v>70</v>
      </c>
      <c r="C22" s="49"/>
      <c r="D22" s="49"/>
      <c r="E22" s="14"/>
      <c r="F22" s="14"/>
      <c r="G22" s="14"/>
      <c r="H22" s="14"/>
      <c r="I22" s="14"/>
      <c r="J22" s="49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4" ht="14.25" customHeight="1">
      <c r="A23" s="56">
        <v>1010</v>
      </c>
      <c r="B23" s="57" t="s">
        <v>49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159">
        <f>320.1+944.9</f>
        <v>1265</v>
      </c>
      <c r="M23" s="159"/>
      <c r="N23" s="60"/>
      <c r="O23" s="158"/>
      <c r="P23" s="158"/>
      <c r="Q23" s="158"/>
      <c r="R23" s="159"/>
      <c r="S23" s="158"/>
      <c r="T23" s="159"/>
      <c r="U23" s="160"/>
      <c r="V23" s="159"/>
      <c r="W23" s="55"/>
      <c r="X23">
        <v>1265</v>
      </c>
    </row>
    <row r="24" spans="1:24" ht="13.5" customHeight="1">
      <c r="A24" s="56">
        <v>1020</v>
      </c>
      <c r="B24" s="57" t="s">
        <v>59</v>
      </c>
      <c r="C24" s="1"/>
      <c r="D24" s="1"/>
      <c r="E24" s="1"/>
      <c r="F24" s="1"/>
      <c r="G24" s="1"/>
      <c r="H24" s="1"/>
      <c r="I24" s="1"/>
      <c r="J24" s="1"/>
      <c r="K24" s="58" t="s">
        <v>24</v>
      </c>
      <c r="L24" s="161">
        <f>254+596</f>
        <v>850</v>
      </c>
      <c r="M24" s="161"/>
      <c r="N24" s="61"/>
      <c r="O24" s="163"/>
      <c r="P24" s="163"/>
      <c r="Q24" s="163"/>
      <c r="R24" s="161"/>
      <c r="S24" s="163"/>
      <c r="T24" s="161"/>
      <c r="U24" s="164"/>
      <c r="V24" s="161"/>
      <c r="W24" s="55"/>
      <c r="X24">
        <v>850</v>
      </c>
    </row>
    <row r="25" spans="1:24" ht="13.5" customHeight="1">
      <c r="A25" s="56">
        <v>1030</v>
      </c>
      <c r="B25" s="57" t="s">
        <v>16</v>
      </c>
      <c r="C25" s="1"/>
      <c r="D25" s="1"/>
      <c r="E25" s="1"/>
      <c r="F25" s="1"/>
      <c r="G25" s="1"/>
      <c r="H25" s="1"/>
      <c r="I25" s="1"/>
      <c r="J25" s="1"/>
      <c r="K25" s="58" t="s">
        <v>24</v>
      </c>
      <c r="L25" s="159">
        <f>458.8+1288.5</f>
        <v>1747.3</v>
      </c>
      <c r="M25" s="159"/>
      <c r="N25" s="60"/>
      <c r="O25" s="158"/>
      <c r="P25" s="158"/>
      <c r="Q25" s="158"/>
      <c r="R25" s="159"/>
      <c r="S25" s="158"/>
      <c r="T25" s="159"/>
      <c r="U25" s="160"/>
      <c r="V25" s="159"/>
      <c r="W25" s="55"/>
      <c r="X25">
        <v>1747.3</v>
      </c>
    </row>
    <row r="26" spans="1:24" ht="13.5" customHeight="1">
      <c r="A26" s="56">
        <v>1040</v>
      </c>
      <c r="B26" s="57" t="s">
        <v>27</v>
      </c>
      <c r="C26" s="1"/>
      <c r="D26" s="1"/>
      <c r="E26" s="1"/>
      <c r="F26" s="1"/>
      <c r="G26" s="1"/>
      <c r="H26" s="1"/>
      <c r="I26" s="1"/>
      <c r="J26" s="1"/>
      <c r="K26" s="58" t="s">
        <v>24</v>
      </c>
      <c r="L26" s="161">
        <f>33681+51433</f>
        <v>85114</v>
      </c>
      <c r="M26" s="161"/>
      <c r="N26" s="61"/>
      <c r="O26" s="158"/>
      <c r="P26" s="158"/>
      <c r="Q26" s="158"/>
      <c r="R26" s="159"/>
      <c r="S26" s="158"/>
      <c r="T26" s="159"/>
      <c r="U26" s="160"/>
      <c r="V26" s="159"/>
      <c r="W26" s="55"/>
      <c r="X26">
        <v>85114</v>
      </c>
    </row>
    <row r="27" spans="1:24" ht="13.5" customHeight="1">
      <c r="A27" s="56">
        <v>1050</v>
      </c>
      <c r="B27" s="57" t="s">
        <v>8</v>
      </c>
      <c r="C27" s="1"/>
      <c r="D27" s="1"/>
      <c r="E27" s="1"/>
      <c r="F27" s="1"/>
      <c r="G27" s="1"/>
      <c r="H27" s="1"/>
      <c r="I27" s="1"/>
      <c r="J27" s="1"/>
      <c r="K27" s="58" t="s">
        <v>24</v>
      </c>
      <c r="L27" s="159">
        <f>14.028+14.65+1.7+5.5</f>
        <v>35.878</v>
      </c>
      <c r="M27" s="159"/>
      <c r="N27" s="60"/>
      <c r="O27" s="158"/>
      <c r="P27" s="158"/>
      <c r="Q27" s="158"/>
      <c r="R27" s="159"/>
      <c r="S27" s="158"/>
      <c r="T27" s="159"/>
      <c r="U27" s="160"/>
      <c r="V27" s="159"/>
      <c r="W27" s="55"/>
      <c r="X27">
        <v>35.878</v>
      </c>
    </row>
    <row r="28" spans="1:24" ht="13.5" customHeight="1">
      <c r="A28" s="56">
        <v>1060</v>
      </c>
      <c r="B28" s="57" t="s">
        <v>64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159">
        <f>41580.3+85559.6</f>
        <v>127139.90000000001</v>
      </c>
      <c r="M28" s="159"/>
      <c r="N28" s="60"/>
      <c r="O28" s="158"/>
      <c r="P28" s="158"/>
      <c r="Q28" s="158"/>
      <c r="R28" s="159"/>
      <c r="S28" s="158"/>
      <c r="T28" s="159"/>
      <c r="U28" s="160"/>
      <c r="V28" s="159"/>
      <c r="W28" s="55"/>
      <c r="X28">
        <v>127139.90000000001</v>
      </c>
    </row>
    <row r="29" spans="1:24" ht="13.5" customHeight="1">
      <c r="A29" s="56">
        <v>1070</v>
      </c>
      <c r="B29" s="57" t="s">
        <v>41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159">
        <f>49269.5+117441</f>
        <v>166710.5</v>
      </c>
      <c r="M29" s="159"/>
      <c r="N29" s="60"/>
      <c r="O29" s="158"/>
      <c r="P29" s="158"/>
      <c r="Q29" s="158"/>
      <c r="R29" s="159"/>
      <c r="S29" s="158"/>
      <c r="T29" s="159"/>
      <c r="U29" s="160"/>
      <c r="V29" s="159"/>
      <c r="W29" s="55"/>
      <c r="X29">
        <v>166710.5</v>
      </c>
    </row>
    <row r="30" spans="1:23" ht="13.5" customHeight="1">
      <c r="A30" s="56">
        <v>1080</v>
      </c>
      <c r="B30" s="57" t="s">
        <v>14</v>
      </c>
      <c r="C30" s="1"/>
      <c r="D30" s="1"/>
      <c r="E30" s="1"/>
      <c r="F30" s="1"/>
      <c r="G30" s="1"/>
      <c r="H30" s="1"/>
      <c r="I30" s="1"/>
      <c r="J30" s="1"/>
      <c r="K30" s="58" t="s">
        <v>56</v>
      </c>
      <c r="L30" s="162">
        <f>L28/L29</f>
        <v>0.762638825988765</v>
      </c>
      <c r="M30" s="162"/>
      <c r="N30" s="62"/>
      <c r="O30" s="158"/>
      <c r="P30" s="158"/>
      <c r="Q30" s="158"/>
      <c r="R30" s="159"/>
      <c r="S30" s="158"/>
      <c r="T30" s="159"/>
      <c r="U30" s="160"/>
      <c r="V30" s="159"/>
      <c r="W30" s="55"/>
    </row>
    <row r="31" spans="1:23" ht="13.5" customHeight="1">
      <c r="A31" s="56"/>
      <c r="B31" s="57" t="s">
        <v>33</v>
      </c>
      <c r="C31" s="1"/>
      <c r="D31" s="1"/>
      <c r="E31" s="1"/>
      <c r="F31" s="1"/>
      <c r="G31" s="1"/>
      <c r="H31" s="1"/>
      <c r="I31" s="1"/>
      <c r="J31" s="1"/>
      <c r="K31" s="58"/>
      <c r="L31" s="59"/>
      <c r="M31" s="60"/>
      <c r="N31" s="60"/>
      <c r="O31" s="158"/>
      <c r="P31" s="158"/>
      <c r="Q31" s="158"/>
      <c r="R31" s="159"/>
      <c r="S31" s="158"/>
      <c r="T31" s="159"/>
      <c r="U31" s="160"/>
      <c r="V31" s="159"/>
      <c r="W31" s="55"/>
    </row>
    <row r="32" spans="1:24" ht="13.5" customHeight="1">
      <c r="A32" s="56">
        <v>1091</v>
      </c>
      <c r="B32" s="57"/>
      <c r="C32" s="1" t="s">
        <v>54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159">
        <f>4155.7+8550.2</f>
        <v>12705.900000000001</v>
      </c>
      <c r="M32" s="159"/>
      <c r="N32" s="60"/>
      <c r="O32" s="158"/>
      <c r="P32" s="158"/>
      <c r="Q32" s="158"/>
      <c r="R32" s="159"/>
      <c r="S32" s="158"/>
      <c r="T32" s="159"/>
      <c r="U32" s="160"/>
      <c r="V32" s="159"/>
      <c r="W32" s="55"/>
      <c r="X32">
        <v>12705.900000000001</v>
      </c>
    </row>
    <row r="33" spans="1:24" ht="13.5" customHeight="1">
      <c r="A33" s="56">
        <v>1092</v>
      </c>
      <c r="B33" s="57"/>
      <c r="C33" s="1" t="s">
        <v>47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159">
        <f>16.8+24.2</f>
        <v>41</v>
      </c>
      <c r="M33" s="159"/>
      <c r="N33" s="60"/>
      <c r="O33" s="158"/>
      <c r="P33" s="158"/>
      <c r="Q33" s="158"/>
      <c r="R33" s="159"/>
      <c r="S33" s="158"/>
      <c r="T33" s="159"/>
      <c r="U33" s="160"/>
      <c r="V33" s="159"/>
      <c r="W33" s="55"/>
      <c r="X33">
        <v>41</v>
      </c>
    </row>
    <row r="34" spans="1:24" ht="13.5" customHeight="1">
      <c r="A34" s="56">
        <v>1093</v>
      </c>
      <c r="B34" s="57"/>
      <c r="C34" s="1" t="s">
        <v>25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159">
        <f>2+6.4</f>
        <v>8.4</v>
      </c>
      <c r="M34" s="159"/>
      <c r="N34" s="60"/>
      <c r="O34" s="158"/>
      <c r="P34" s="158"/>
      <c r="Q34" s="158"/>
      <c r="R34" s="159"/>
      <c r="S34" s="158"/>
      <c r="T34" s="159"/>
      <c r="U34" s="160"/>
      <c r="V34" s="159"/>
      <c r="W34" s="55"/>
      <c r="X34">
        <v>8.4</v>
      </c>
    </row>
    <row r="35" spans="1:24" ht="13.5" customHeight="1">
      <c r="A35" s="56">
        <v>1094</v>
      </c>
      <c r="B35" s="57"/>
      <c r="C35" s="1" t="s">
        <v>0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159">
        <f>L32+L33+L34</f>
        <v>12755.300000000001</v>
      </c>
      <c r="M35" s="159"/>
      <c r="N35" s="60"/>
      <c r="O35" s="158"/>
      <c r="P35" s="158"/>
      <c r="Q35" s="158"/>
      <c r="R35" s="159"/>
      <c r="S35" s="158"/>
      <c r="T35" s="159"/>
      <c r="U35" s="160"/>
      <c r="V35" s="159"/>
      <c r="W35" s="55"/>
      <c r="X35">
        <v>12755.300000000001</v>
      </c>
    </row>
    <row r="36" spans="1:24" ht="13.5" customHeight="1">
      <c r="A36" s="56">
        <v>1100</v>
      </c>
      <c r="B36" s="57" t="s">
        <v>44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159">
        <f>5090.3+13157.2</f>
        <v>18247.5</v>
      </c>
      <c r="M36" s="159"/>
      <c r="N36" s="60"/>
      <c r="O36" s="158"/>
      <c r="P36" s="158"/>
      <c r="Q36" s="158"/>
      <c r="R36" s="159"/>
      <c r="S36" s="158"/>
      <c r="T36" s="159"/>
      <c r="U36" s="160"/>
      <c r="V36" s="159"/>
      <c r="W36" s="55"/>
      <c r="X36">
        <v>18247.5</v>
      </c>
    </row>
    <row r="37" spans="1:23" ht="13.5" customHeight="1">
      <c r="A37" s="56">
        <v>1110</v>
      </c>
      <c r="B37" s="57" t="s">
        <v>15</v>
      </c>
      <c r="C37" s="1"/>
      <c r="D37" s="1"/>
      <c r="E37" s="1"/>
      <c r="F37" s="1"/>
      <c r="G37" s="1"/>
      <c r="H37" s="1"/>
      <c r="I37" s="1"/>
      <c r="J37" s="1"/>
      <c r="K37" s="58" t="s">
        <v>56</v>
      </c>
      <c r="L37" s="162">
        <f>L35/L36</f>
        <v>0.6990163036032334</v>
      </c>
      <c r="M37" s="162"/>
      <c r="N37" s="62"/>
      <c r="O37" s="158"/>
      <c r="P37" s="158"/>
      <c r="Q37" s="158"/>
      <c r="R37" s="159"/>
      <c r="S37" s="158"/>
      <c r="T37" s="159"/>
      <c r="U37" s="160"/>
      <c r="V37" s="159"/>
      <c r="W37" s="55"/>
    </row>
    <row r="38" spans="1:23" ht="11.25" customHeight="1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59"/>
      <c r="M38" s="60"/>
      <c r="N38" s="60"/>
      <c r="O38" s="158"/>
      <c r="P38" s="158"/>
      <c r="Q38" s="158"/>
      <c r="R38" s="159"/>
      <c r="S38" s="158"/>
      <c r="T38" s="159"/>
      <c r="U38" s="160"/>
      <c r="V38" s="159"/>
      <c r="W38" s="55"/>
    </row>
    <row r="39" spans="1:23" ht="13.5" customHeight="1">
      <c r="A39" s="56"/>
      <c r="B39" s="63" t="s">
        <v>62</v>
      </c>
      <c r="C39" s="1"/>
      <c r="D39" s="1"/>
      <c r="E39" s="1"/>
      <c r="F39" s="1"/>
      <c r="G39" s="1"/>
      <c r="H39" s="1"/>
      <c r="I39" s="1"/>
      <c r="J39" s="1"/>
      <c r="K39" s="58"/>
      <c r="L39" s="64"/>
      <c r="M39" s="65"/>
      <c r="N39" s="65"/>
      <c r="O39" s="64"/>
      <c r="P39" s="65"/>
      <c r="Q39" s="65"/>
      <c r="R39" s="65"/>
      <c r="S39" s="64"/>
      <c r="T39" s="65"/>
      <c r="U39" s="64"/>
      <c r="V39" s="65"/>
      <c r="W39" s="55"/>
    </row>
    <row r="40" spans="1:24" ht="13.5" customHeight="1">
      <c r="A40" s="56">
        <v>2010</v>
      </c>
      <c r="B40" s="57" t="s">
        <v>29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159">
        <f>2.7+2.3</f>
        <v>5</v>
      </c>
      <c r="M40" s="159"/>
      <c r="N40" s="60"/>
      <c r="O40" s="158"/>
      <c r="P40" s="158"/>
      <c r="Q40" s="158"/>
      <c r="R40" s="159"/>
      <c r="S40" s="158"/>
      <c r="T40" s="159"/>
      <c r="U40" s="160"/>
      <c r="V40" s="159"/>
      <c r="W40" s="55"/>
      <c r="X40">
        <v>5</v>
      </c>
    </row>
    <row r="41" spans="1:24" ht="13.5" customHeight="1">
      <c r="A41" s="56">
        <v>2020</v>
      </c>
      <c r="B41" s="57" t="s">
        <v>51</v>
      </c>
      <c r="C41" s="1"/>
      <c r="D41" s="66"/>
      <c r="E41" s="1"/>
      <c r="F41" s="1"/>
      <c r="G41" s="1"/>
      <c r="H41" s="1"/>
      <c r="I41" s="1"/>
      <c r="J41" s="1"/>
      <c r="K41" s="58" t="s">
        <v>24</v>
      </c>
      <c r="L41" s="161">
        <f>3+2</f>
        <v>5</v>
      </c>
      <c r="M41" s="161"/>
      <c r="N41" s="60"/>
      <c r="O41" s="158"/>
      <c r="P41" s="158"/>
      <c r="Q41" s="158"/>
      <c r="R41" s="159"/>
      <c r="S41" s="158"/>
      <c r="T41" s="159"/>
      <c r="U41" s="160"/>
      <c r="V41" s="159"/>
      <c r="W41" s="55"/>
      <c r="X41">
        <v>5</v>
      </c>
    </row>
    <row r="42" spans="1:24" ht="13.5" customHeight="1">
      <c r="A42" s="56">
        <v>2030</v>
      </c>
      <c r="B42" s="57" t="s">
        <v>34</v>
      </c>
      <c r="C42" s="1"/>
      <c r="D42" s="1"/>
      <c r="E42" s="1"/>
      <c r="F42" s="1"/>
      <c r="G42" s="1"/>
      <c r="H42" s="1"/>
      <c r="I42" s="1"/>
      <c r="J42" s="1"/>
      <c r="K42" s="58" t="s">
        <v>24</v>
      </c>
      <c r="L42" s="159">
        <f>4.2+3.3</f>
        <v>7.5</v>
      </c>
      <c r="M42" s="159"/>
      <c r="N42" s="60"/>
      <c r="O42" s="158"/>
      <c r="P42" s="158"/>
      <c r="Q42" s="158"/>
      <c r="R42" s="159"/>
      <c r="S42" s="158"/>
      <c r="T42" s="159"/>
      <c r="U42" s="160"/>
      <c r="V42" s="159"/>
      <c r="W42" s="55"/>
      <c r="X42">
        <v>7.5</v>
      </c>
    </row>
    <row r="43" spans="1:24" ht="13.5" customHeight="1">
      <c r="A43" s="56">
        <v>2040</v>
      </c>
      <c r="B43" s="57" t="s">
        <v>71</v>
      </c>
      <c r="C43" s="1"/>
      <c r="D43" s="1"/>
      <c r="E43" s="1"/>
      <c r="F43" s="1"/>
      <c r="G43" s="1"/>
      <c r="H43" s="1"/>
      <c r="I43" s="1"/>
      <c r="J43" s="1"/>
      <c r="K43" s="58" t="s">
        <v>24</v>
      </c>
      <c r="L43" s="161">
        <f>14+179</f>
        <v>193</v>
      </c>
      <c r="M43" s="161"/>
      <c r="N43" s="61"/>
      <c r="O43" s="158"/>
      <c r="P43" s="158"/>
      <c r="Q43" s="158"/>
      <c r="R43" s="159"/>
      <c r="S43" s="158"/>
      <c r="T43" s="159"/>
      <c r="U43" s="160"/>
      <c r="V43" s="159"/>
      <c r="W43" s="55"/>
      <c r="X43">
        <v>193</v>
      </c>
    </row>
    <row r="44" spans="1:24" ht="13.5" customHeight="1">
      <c r="A44" s="56">
        <v>2050</v>
      </c>
      <c r="B44" s="57" t="s">
        <v>58</v>
      </c>
      <c r="C44" s="1"/>
      <c r="D44" s="66"/>
      <c r="E44" s="1"/>
      <c r="F44" s="1"/>
      <c r="G44" s="1"/>
      <c r="H44" s="1"/>
      <c r="I44" s="1"/>
      <c r="J44" s="1"/>
      <c r="K44" s="58" t="s">
        <v>24</v>
      </c>
      <c r="L44" s="159">
        <f>0+0+0+0</f>
        <v>0</v>
      </c>
      <c r="M44" s="159"/>
      <c r="N44" s="60"/>
      <c r="O44" s="158"/>
      <c r="P44" s="158"/>
      <c r="Q44" s="158"/>
      <c r="R44" s="159"/>
      <c r="S44" s="158"/>
      <c r="T44" s="159"/>
      <c r="U44" s="160"/>
      <c r="V44" s="159"/>
      <c r="W44" s="55"/>
      <c r="X44">
        <v>0</v>
      </c>
    </row>
    <row r="45" spans="1:24" ht="13.5" customHeight="1">
      <c r="A45" s="56">
        <v>2060</v>
      </c>
      <c r="B45" s="57" t="s">
        <v>22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159">
        <f>14.7+205.9</f>
        <v>220.6</v>
      </c>
      <c r="M45" s="159"/>
      <c r="N45" s="60"/>
      <c r="O45" s="158"/>
      <c r="P45" s="158"/>
      <c r="Q45" s="158"/>
      <c r="R45" s="159"/>
      <c r="S45" s="158"/>
      <c r="T45" s="159"/>
      <c r="U45" s="160"/>
      <c r="V45" s="159"/>
      <c r="W45" s="55"/>
      <c r="X45">
        <v>220.6</v>
      </c>
    </row>
    <row r="46" spans="1:24" ht="13.5" customHeight="1">
      <c r="A46" s="56">
        <v>2070</v>
      </c>
      <c r="B46" s="57" t="s">
        <v>53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159">
        <f>278.3+410.5</f>
        <v>688.8</v>
      </c>
      <c r="M46" s="159"/>
      <c r="N46" s="60"/>
      <c r="O46" s="158"/>
      <c r="P46" s="158"/>
      <c r="Q46" s="158"/>
      <c r="R46" s="159"/>
      <c r="S46" s="158"/>
      <c r="T46" s="159"/>
      <c r="U46" s="160"/>
      <c r="V46" s="159"/>
      <c r="W46" s="55"/>
      <c r="X46">
        <v>688.8</v>
      </c>
    </row>
    <row r="47" spans="1:23" ht="13.5" customHeight="1">
      <c r="A47" s="56"/>
      <c r="B47" s="57" t="s">
        <v>13</v>
      </c>
      <c r="C47" s="1" t="s">
        <v>61</v>
      </c>
      <c r="D47" s="1"/>
      <c r="E47" s="1"/>
      <c r="F47" s="1"/>
      <c r="G47" s="1"/>
      <c r="H47" s="1"/>
      <c r="I47" s="1"/>
      <c r="J47" s="1"/>
      <c r="K47" s="58"/>
      <c r="L47" s="59"/>
      <c r="M47" s="60"/>
      <c r="N47" s="60"/>
      <c r="O47" s="158"/>
      <c r="P47" s="158"/>
      <c r="Q47" s="158"/>
      <c r="R47" s="159"/>
      <c r="S47" s="158"/>
      <c r="T47" s="159"/>
      <c r="U47" s="160"/>
      <c r="V47" s="159"/>
      <c r="W47" s="55"/>
    </row>
    <row r="48" spans="1:24" ht="13.5" customHeight="1">
      <c r="A48" s="56">
        <v>2091</v>
      </c>
      <c r="B48" s="57"/>
      <c r="C48" s="1" t="s">
        <v>54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159">
        <f>1.5+20.6</f>
        <v>22.1</v>
      </c>
      <c r="M48" s="159"/>
      <c r="N48" s="60"/>
      <c r="O48" s="158"/>
      <c r="P48" s="158"/>
      <c r="Q48" s="158"/>
      <c r="R48" s="159"/>
      <c r="S48" s="158"/>
      <c r="T48" s="159"/>
      <c r="U48" s="160"/>
      <c r="V48" s="159"/>
      <c r="W48" s="55"/>
      <c r="X48">
        <v>22.1</v>
      </c>
    </row>
    <row r="49" spans="1:24" ht="13.5" customHeight="1">
      <c r="A49" s="56">
        <v>2092</v>
      </c>
      <c r="B49" s="57"/>
      <c r="C49" s="1" t="s">
        <v>35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159">
        <f>0+0+0+0</f>
        <v>0</v>
      </c>
      <c r="M49" s="159"/>
      <c r="N49" s="60"/>
      <c r="O49" s="158"/>
      <c r="P49" s="158"/>
      <c r="Q49" s="158"/>
      <c r="R49" s="159"/>
      <c r="S49" s="158"/>
      <c r="T49" s="159"/>
      <c r="U49" s="160"/>
      <c r="V49" s="159"/>
      <c r="W49" s="55"/>
      <c r="X49">
        <v>0</v>
      </c>
    </row>
    <row r="50" spans="1:24" ht="13.5" customHeight="1">
      <c r="A50" s="56">
        <v>2094</v>
      </c>
      <c r="B50" s="57"/>
      <c r="C50" s="1" t="s">
        <v>26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159">
        <f>L48+L49</f>
        <v>22.1</v>
      </c>
      <c r="M50" s="159"/>
      <c r="N50" s="60"/>
      <c r="O50" s="158"/>
      <c r="P50" s="158"/>
      <c r="Q50" s="158"/>
      <c r="R50" s="159"/>
      <c r="S50" s="158"/>
      <c r="T50" s="159"/>
      <c r="U50" s="160"/>
      <c r="V50" s="159"/>
      <c r="W50" s="55"/>
      <c r="X50">
        <v>22.1</v>
      </c>
    </row>
    <row r="51" spans="1:24" ht="13.5" customHeight="1">
      <c r="A51" s="56">
        <v>2100</v>
      </c>
      <c r="B51" s="57" t="s">
        <v>31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159">
        <f>31.8+40.8</f>
        <v>72.6</v>
      </c>
      <c r="M51" s="159"/>
      <c r="N51" s="60"/>
      <c r="O51" s="158"/>
      <c r="P51" s="158"/>
      <c r="Q51" s="158"/>
      <c r="R51" s="159"/>
      <c r="S51" s="158"/>
      <c r="T51" s="159"/>
      <c r="U51" s="160"/>
      <c r="V51" s="159"/>
      <c r="W51" s="55"/>
      <c r="X51">
        <v>72.6</v>
      </c>
    </row>
    <row r="52" spans="1:23" ht="10.5" customHeight="1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59"/>
      <c r="M52" s="60"/>
      <c r="N52" s="60"/>
      <c r="O52" s="158"/>
      <c r="P52" s="158"/>
      <c r="Q52" s="158"/>
      <c r="R52" s="159"/>
      <c r="S52" s="158"/>
      <c r="T52" s="159"/>
      <c r="U52" s="160"/>
      <c r="V52" s="159"/>
      <c r="W52" s="55"/>
    </row>
    <row r="53" spans="1:23" ht="13.5" customHeight="1">
      <c r="A53" s="56"/>
      <c r="B53" s="63" t="s">
        <v>66</v>
      </c>
      <c r="C53" s="1"/>
      <c r="D53" s="1"/>
      <c r="E53" s="1"/>
      <c r="F53" s="1"/>
      <c r="G53" s="1"/>
      <c r="H53" s="1"/>
      <c r="I53" s="1"/>
      <c r="J53" s="1"/>
      <c r="K53" s="58"/>
      <c r="L53" s="64"/>
      <c r="M53" s="65"/>
      <c r="N53" s="65"/>
      <c r="O53" s="64"/>
      <c r="P53" s="65"/>
      <c r="Q53" s="65"/>
      <c r="R53" s="65"/>
      <c r="S53" s="64"/>
      <c r="T53" s="65"/>
      <c r="U53" s="64"/>
      <c r="V53" s="65"/>
      <c r="W53" s="55"/>
    </row>
    <row r="54" spans="1:23" ht="13.5" customHeight="1">
      <c r="A54" s="56">
        <v>2330</v>
      </c>
      <c r="B54" s="57" t="s">
        <v>68</v>
      </c>
      <c r="C54" s="1"/>
      <c r="D54" s="1"/>
      <c r="E54" s="1"/>
      <c r="F54" s="1"/>
      <c r="G54" s="1"/>
      <c r="H54" s="1"/>
      <c r="I54" s="1"/>
      <c r="J54" s="1"/>
      <c r="K54" s="58" t="s">
        <v>24</v>
      </c>
      <c r="L54" s="159">
        <f>3.9+7.4</f>
        <v>11.3</v>
      </c>
      <c r="M54" s="159"/>
      <c r="N54" s="60"/>
      <c r="O54" s="158"/>
      <c r="P54" s="158"/>
      <c r="Q54" s="158"/>
      <c r="R54" s="159"/>
      <c r="S54" s="158"/>
      <c r="T54" s="159"/>
      <c r="U54" s="160"/>
      <c r="V54" s="159"/>
      <c r="W54" s="55"/>
    </row>
    <row r="55" spans="1:23" ht="10.5" customHeight="1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72"/>
      <c r="M55" s="2"/>
      <c r="N55" s="69"/>
      <c r="O55" s="68"/>
      <c r="P55" s="2"/>
      <c r="Q55" s="2"/>
      <c r="R55" s="2"/>
      <c r="S55" s="72"/>
      <c r="T55" s="2"/>
      <c r="U55" s="72"/>
      <c r="V55" s="2"/>
      <c r="W55" s="55"/>
    </row>
    <row r="56" spans="1:23" ht="24.75" customHeight="1" thickBot="1">
      <c r="A56" s="73" t="s">
        <v>50</v>
      </c>
      <c r="B56" s="75"/>
      <c r="C56" s="77"/>
      <c r="D56" s="77"/>
      <c r="E56" s="78"/>
      <c r="F56" s="78"/>
      <c r="G56" s="78"/>
      <c r="H56" s="78"/>
      <c r="I56" s="78"/>
      <c r="J56" s="78"/>
      <c r="K56" s="79"/>
      <c r="L56" s="79"/>
      <c r="M56" s="79"/>
      <c r="N56" s="78"/>
      <c r="O56" s="78"/>
      <c r="P56" s="71"/>
      <c r="Q56" s="71"/>
      <c r="R56" s="71"/>
      <c r="S56" s="71"/>
      <c r="T56" s="71"/>
      <c r="U56" s="71"/>
      <c r="V56" s="71"/>
      <c r="W56" s="55"/>
    </row>
    <row r="57" spans="1:15" ht="12.75" customHeight="1">
      <c r="A57" s="74"/>
      <c r="B57" s="76"/>
      <c r="C57" s="74"/>
      <c r="D57" s="76"/>
      <c r="E57" s="74"/>
      <c r="F57" s="74"/>
      <c r="G57" s="74"/>
      <c r="H57" s="74"/>
      <c r="I57" s="74"/>
      <c r="J57" s="74"/>
      <c r="K57" s="80"/>
      <c r="L57" s="81"/>
      <c r="M57" s="81"/>
      <c r="N57" s="74"/>
      <c r="O57" s="74"/>
    </row>
  </sheetData>
  <sheetProtection/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showGridLines="0" showZeros="0" zoomScalePageLayoutView="0" workbookViewId="0" topLeftCell="A13">
      <selection activeCell="X40" sqref="X40:Y51"/>
    </sheetView>
  </sheetViews>
  <sheetFormatPr defaultColWidth="9.140625" defaultRowHeight="12.75"/>
  <cols>
    <col min="1" max="1" width="12.8515625" style="0" customWidth="1"/>
    <col min="2" max="2" width="2.57421875" style="0" customWidth="1"/>
    <col min="3" max="3" width="2.7109375" style="0" customWidth="1"/>
    <col min="4" max="5" width="4.140625" style="0" customWidth="1"/>
    <col min="6" max="6" width="6.57421875" style="0" customWidth="1"/>
    <col min="7" max="7" width="7.140625" style="0" customWidth="1"/>
    <col min="8" max="8" width="6.8515625" style="0" customWidth="1"/>
    <col min="9" max="9" width="3.421875" style="0" customWidth="1"/>
    <col min="10" max="10" width="2.8515625" style="0" customWidth="1"/>
    <col min="11" max="11" width="8.421875" style="0" customWidth="1"/>
    <col min="12" max="12" width="7.28125" style="0" customWidth="1"/>
    <col min="13" max="13" width="4.7109375" style="0" customWidth="1"/>
    <col min="14" max="14" width="1.28515625" style="0" customWidth="1"/>
    <col min="15" max="18" width="3.28125" style="0" customWidth="1"/>
    <col min="19" max="22" width="6.57421875" style="0" customWidth="1"/>
    <col min="23" max="23" width="0.7187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48</v>
      </c>
    </row>
    <row r="2" spans="1:22" ht="14.25" customHeight="1">
      <c r="A2" s="5" t="s">
        <v>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>
      <c r="A3" s="5" t="s">
        <v>7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>
      <c r="A4" s="5" t="s">
        <v>45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7" t="s">
        <v>4</v>
      </c>
      <c r="B9" s="82" t="s">
        <v>76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9</v>
      </c>
      <c r="P9" s="9"/>
      <c r="Q9" s="9"/>
      <c r="R9" s="9"/>
      <c r="S9" s="9"/>
      <c r="T9" s="9"/>
      <c r="U9" s="1"/>
      <c r="V9" s="1"/>
    </row>
    <row r="10" spans="1:22" ht="14.25" customHeight="1">
      <c r="A10" s="7" t="s">
        <v>18</v>
      </c>
      <c r="B10" s="11" t="s">
        <v>52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67</v>
      </c>
      <c r="O10" s="11" t="s">
        <v>52</v>
      </c>
      <c r="P10" s="12"/>
      <c r="Q10" s="12"/>
      <c r="R10" s="12"/>
      <c r="S10" s="12"/>
      <c r="T10" s="12"/>
      <c r="U10" s="1"/>
      <c r="V10" s="1"/>
    </row>
    <row r="11" spans="1:22" ht="14.25" customHeight="1">
      <c r="A11" s="7" t="s">
        <v>12</v>
      </c>
      <c r="B11" s="12" t="s">
        <v>30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>
      <c r="A12" s="7" t="s">
        <v>46</v>
      </c>
      <c r="B12" s="12" t="s">
        <v>19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60</v>
      </c>
      <c r="O12" s="5" t="s">
        <v>77</v>
      </c>
      <c r="P12" s="9"/>
      <c r="Q12" s="9"/>
      <c r="R12" s="9"/>
      <c r="S12" s="9"/>
      <c r="T12" s="9"/>
      <c r="U12" s="1"/>
      <c r="V12" s="1"/>
    </row>
    <row r="13" spans="1:22" ht="14.25" customHeight="1">
      <c r="A13" s="7" t="s">
        <v>40</v>
      </c>
      <c r="B13" s="83" t="s">
        <v>78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21</v>
      </c>
      <c r="O13" s="11">
        <v>2017</v>
      </c>
      <c r="P13" s="12"/>
      <c r="Q13" s="12"/>
      <c r="R13" s="12"/>
      <c r="S13" s="12"/>
      <c r="T13" s="12"/>
      <c r="U13" s="1"/>
      <c r="V13" s="1"/>
    </row>
    <row r="14" spans="1:22" ht="18" customHeight="1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</v>
      </c>
      <c r="M16" s="21"/>
      <c r="N16" s="22"/>
      <c r="O16" s="22"/>
      <c r="P16" s="22"/>
      <c r="Q16" s="22"/>
      <c r="R16" s="22"/>
      <c r="S16" s="20" t="s">
        <v>63</v>
      </c>
      <c r="T16" s="22"/>
      <c r="U16" s="22"/>
      <c r="V16" s="23"/>
    </row>
    <row r="17" spans="1:22" ht="15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28</v>
      </c>
      <c r="M17" s="29"/>
      <c r="N17" s="29"/>
      <c r="O17" s="30"/>
      <c r="P17" s="30"/>
      <c r="Q17" s="29"/>
      <c r="R17" s="29"/>
      <c r="S17" s="28" t="s">
        <v>72</v>
      </c>
      <c r="T17" s="29"/>
      <c r="U17" s="29"/>
      <c r="V17" s="31"/>
    </row>
    <row r="18" spans="1:22" ht="12.75" customHeight="1">
      <c r="A18" s="24" t="s">
        <v>42</v>
      </c>
      <c r="B18" s="25" t="s">
        <v>36</v>
      </c>
      <c r="C18" s="26"/>
      <c r="D18" s="26"/>
      <c r="E18" s="26"/>
      <c r="F18" s="26"/>
      <c r="G18" s="26"/>
      <c r="H18" s="26"/>
      <c r="I18" s="26"/>
      <c r="J18" s="26"/>
      <c r="K18" s="27" t="s">
        <v>20</v>
      </c>
      <c r="L18" s="34" t="s">
        <v>32</v>
      </c>
      <c r="M18" s="35"/>
      <c r="N18" s="35"/>
      <c r="O18" s="36"/>
      <c r="P18" s="36"/>
      <c r="Q18" s="35"/>
      <c r="R18" s="35"/>
      <c r="S18" s="34" t="s">
        <v>38</v>
      </c>
      <c r="T18" s="35"/>
      <c r="U18" s="35"/>
      <c r="V18" s="37"/>
    </row>
    <row r="19" spans="1:22" ht="15" customHeight="1">
      <c r="A19" s="24" t="s">
        <v>3</v>
      </c>
      <c r="B19" s="32"/>
      <c r="C19" s="33"/>
      <c r="D19" s="33"/>
      <c r="E19" s="33"/>
      <c r="F19" s="33"/>
      <c r="G19" s="33"/>
      <c r="H19" s="33"/>
      <c r="I19" s="33"/>
      <c r="J19" s="33"/>
      <c r="K19" s="27"/>
      <c r="L19" s="38" t="s">
        <v>10</v>
      </c>
      <c r="M19" s="39"/>
      <c r="N19" s="39"/>
      <c r="O19" s="40"/>
      <c r="P19" s="39"/>
      <c r="Q19" s="39"/>
      <c r="R19" s="39"/>
      <c r="S19" s="38" t="s">
        <v>10</v>
      </c>
      <c r="T19" s="39"/>
      <c r="U19" s="39"/>
      <c r="V19" s="41"/>
    </row>
    <row r="20" spans="1:22" ht="15" customHeight="1">
      <c r="A20" s="42"/>
      <c r="B20" s="32"/>
      <c r="C20" s="33"/>
      <c r="D20" s="33"/>
      <c r="E20" s="33"/>
      <c r="F20" s="33"/>
      <c r="G20" s="33"/>
      <c r="H20" s="33"/>
      <c r="I20" s="33"/>
      <c r="J20" s="33"/>
      <c r="K20" s="43"/>
      <c r="L20" s="38" t="s">
        <v>11</v>
      </c>
      <c r="M20" s="38"/>
      <c r="N20" s="38"/>
      <c r="O20" s="38" t="s">
        <v>69</v>
      </c>
      <c r="P20" s="38"/>
      <c r="Q20" s="38"/>
      <c r="R20" s="38"/>
      <c r="S20" s="38" t="s">
        <v>11</v>
      </c>
      <c r="T20" s="40"/>
      <c r="U20" s="38" t="s">
        <v>69</v>
      </c>
      <c r="V20" s="44"/>
    </row>
    <row r="21" spans="1:22" ht="12" customHeight="1">
      <c r="A21" s="45"/>
      <c r="B21" s="38" t="s">
        <v>57</v>
      </c>
      <c r="C21" s="48"/>
      <c r="D21" s="48"/>
      <c r="E21" s="48"/>
      <c r="F21" s="48"/>
      <c r="G21" s="48"/>
      <c r="H21" s="48"/>
      <c r="I21" s="48"/>
      <c r="J21" s="48"/>
      <c r="K21" s="50" t="s">
        <v>39</v>
      </c>
      <c r="L21" s="38" t="s">
        <v>23</v>
      </c>
      <c r="M21" s="48"/>
      <c r="N21" s="48"/>
      <c r="O21" s="38" t="s">
        <v>1</v>
      </c>
      <c r="P21" s="48"/>
      <c r="Q21" s="48"/>
      <c r="R21" s="48"/>
      <c r="S21" s="38" t="s">
        <v>55</v>
      </c>
      <c r="T21" s="48"/>
      <c r="U21" s="38" t="s">
        <v>37</v>
      </c>
      <c r="V21" s="41"/>
    </row>
    <row r="22" spans="1:23" ht="21.75" customHeight="1">
      <c r="A22" s="46"/>
      <c r="B22" s="47" t="s">
        <v>70</v>
      </c>
      <c r="C22" s="49"/>
      <c r="D22" s="49"/>
      <c r="E22" s="14"/>
      <c r="F22" s="14"/>
      <c r="G22" s="14"/>
      <c r="H22" s="14"/>
      <c r="I22" s="14"/>
      <c r="J22" s="49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4" ht="14.25" customHeight="1">
      <c r="A23" s="56">
        <v>1010</v>
      </c>
      <c r="B23" s="57" t="s">
        <v>49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159">
        <f>434.3+1043.6</f>
        <v>1477.8999999999999</v>
      </c>
      <c r="M23" s="159"/>
      <c r="N23" s="60"/>
      <c r="O23" s="158"/>
      <c r="P23" s="158"/>
      <c r="Q23" s="158"/>
      <c r="R23" s="159"/>
      <c r="S23" s="158"/>
      <c r="T23" s="159"/>
      <c r="U23" s="160"/>
      <c r="V23" s="159"/>
      <c r="W23" s="55"/>
      <c r="X23">
        <v>1477.8999999999999</v>
      </c>
    </row>
    <row r="24" spans="1:24" ht="13.5" customHeight="1">
      <c r="A24" s="56">
        <v>1020</v>
      </c>
      <c r="B24" s="57" t="s">
        <v>59</v>
      </c>
      <c r="C24" s="1"/>
      <c r="D24" s="1"/>
      <c r="E24" s="1"/>
      <c r="F24" s="1"/>
      <c r="G24" s="1"/>
      <c r="H24" s="1"/>
      <c r="I24" s="1"/>
      <c r="J24" s="1"/>
      <c r="K24" s="58" t="s">
        <v>24</v>
      </c>
      <c r="L24" s="161">
        <f>342+650</f>
        <v>992</v>
      </c>
      <c r="M24" s="161"/>
      <c r="N24" s="61"/>
      <c r="O24" s="163"/>
      <c r="P24" s="163"/>
      <c r="Q24" s="163"/>
      <c r="R24" s="161"/>
      <c r="S24" s="163"/>
      <c r="T24" s="161"/>
      <c r="U24" s="164"/>
      <c r="V24" s="161"/>
      <c r="W24" s="55"/>
      <c r="X24">
        <v>992</v>
      </c>
    </row>
    <row r="25" spans="1:24" ht="13.5" customHeight="1">
      <c r="A25" s="56">
        <v>1030</v>
      </c>
      <c r="B25" s="57" t="s">
        <v>16</v>
      </c>
      <c r="C25" s="1"/>
      <c r="D25" s="1"/>
      <c r="E25" s="1"/>
      <c r="F25" s="1"/>
      <c r="G25" s="1"/>
      <c r="H25" s="1"/>
      <c r="I25" s="1"/>
      <c r="J25" s="1"/>
      <c r="K25" s="58" t="s">
        <v>24</v>
      </c>
      <c r="L25" s="159">
        <f>611.6+1412.6</f>
        <v>2024.1999999999998</v>
      </c>
      <c r="M25" s="159"/>
      <c r="N25" s="60"/>
      <c r="O25" s="158"/>
      <c r="P25" s="158"/>
      <c r="Q25" s="158"/>
      <c r="R25" s="159"/>
      <c r="S25" s="158"/>
      <c r="T25" s="159"/>
      <c r="U25" s="160"/>
      <c r="V25" s="159"/>
      <c r="W25" s="55"/>
      <c r="X25">
        <v>2024.1999999999998</v>
      </c>
    </row>
    <row r="26" spans="1:24" ht="13.5" customHeight="1">
      <c r="A26" s="56">
        <v>1040</v>
      </c>
      <c r="B26" s="57" t="s">
        <v>27</v>
      </c>
      <c r="C26" s="1"/>
      <c r="D26" s="1"/>
      <c r="E26" s="1"/>
      <c r="F26" s="1"/>
      <c r="G26" s="1"/>
      <c r="H26" s="1"/>
      <c r="I26" s="1"/>
      <c r="J26" s="1"/>
      <c r="K26" s="58" t="s">
        <v>24</v>
      </c>
      <c r="L26" s="161">
        <f>41387+51807</f>
        <v>93194</v>
      </c>
      <c r="M26" s="161"/>
      <c r="N26" s="61"/>
      <c r="O26" s="158"/>
      <c r="P26" s="158"/>
      <c r="Q26" s="158"/>
      <c r="R26" s="159"/>
      <c r="S26" s="158"/>
      <c r="T26" s="159"/>
      <c r="U26" s="160"/>
      <c r="V26" s="159"/>
      <c r="W26" s="55"/>
      <c r="X26">
        <v>93194</v>
      </c>
    </row>
    <row r="27" spans="1:24" ht="13.5" customHeight="1">
      <c r="A27" s="56">
        <v>1050</v>
      </c>
      <c r="B27" s="57" t="s">
        <v>8</v>
      </c>
      <c r="C27" s="1"/>
      <c r="D27" s="1"/>
      <c r="E27" s="1"/>
      <c r="F27" s="1"/>
      <c r="G27" s="1"/>
      <c r="H27" s="1"/>
      <c r="I27" s="1"/>
      <c r="J27" s="1"/>
      <c r="K27" s="58" t="s">
        <v>24</v>
      </c>
      <c r="L27" s="159">
        <f>14.422+20.236+1.3+5.4</f>
        <v>41.358</v>
      </c>
      <c r="M27" s="159"/>
      <c r="N27" s="60"/>
      <c r="O27" s="158"/>
      <c r="P27" s="158"/>
      <c r="Q27" s="158"/>
      <c r="R27" s="159"/>
      <c r="S27" s="158"/>
      <c r="T27" s="159"/>
      <c r="U27" s="160"/>
      <c r="V27" s="159"/>
      <c r="W27" s="55"/>
      <c r="X27">
        <v>41.358</v>
      </c>
    </row>
    <row r="28" spans="1:24" ht="13.5" customHeight="1">
      <c r="A28" s="56">
        <v>1060</v>
      </c>
      <c r="B28" s="57" t="s">
        <v>64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159">
        <f>51381.5+85429.6</f>
        <v>136811.1</v>
      </c>
      <c r="M28" s="159"/>
      <c r="N28" s="60"/>
      <c r="O28" s="158"/>
      <c r="P28" s="158"/>
      <c r="Q28" s="158"/>
      <c r="R28" s="159"/>
      <c r="S28" s="158"/>
      <c r="T28" s="159"/>
      <c r="U28" s="160"/>
      <c r="V28" s="159"/>
      <c r="W28" s="55"/>
      <c r="X28">
        <v>136811.1</v>
      </c>
    </row>
    <row r="29" spans="1:24" ht="13.5" customHeight="1">
      <c r="A29" s="56">
        <v>1070</v>
      </c>
      <c r="B29" s="57" t="s">
        <v>41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159">
        <f>63910.2+129667.7</f>
        <v>193577.9</v>
      </c>
      <c r="M29" s="159"/>
      <c r="N29" s="60"/>
      <c r="O29" s="158"/>
      <c r="P29" s="158"/>
      <c r="Q29" s="158"/>
      <c r="R29" s="159"/>
      <c r="S29" s="158"/>
      <c r="T29" s="159"/>
      <c r="U29" s="160"/>
      <c r="V29" s="159"/>
      <c r="W29" s="55"/>
      <c r="X29">
        <v>193577.9</v>
      </c>
    </row>
    <row r="30" spans="1:23" ht="13.5" customHeight="1">
      <c r="A30" s="56">
        <v>1080</v>
      </c>
      <c r="B30" s="57" t="s">
        <v>14</v>
      </c>
      <c r="C30" s="1"/>
      <c r="D30" s="1"/>
      <c r="E30" s="1"/>
      <c r="F30" s="1"/>
      <c r="G30" s="1"/>
      <c r="H30" s="1"/>
      <c r="I30" s="1"/>
      <c r="J30" s="1"/>
      <c r="K30" s="58" t="s">
        <v>56</v>
      </c>
      <c r="L30" s="162">
        <f>L28/L29</f>
        <v>0.7067495824678334</v>
      </c>
      <c r="M30" s="162"/>
      <c r="N30" s="62"/>
      <c r="O30" s="158"/>
      <c r="P30" s="158"/>
      <c r="Q30" s="158"/>
      <c r="R30" s="159"/>
      <c r="S30" s="158"/>
      <c r="T30" s="159"/>
      <c r="U30" s="160"/>
      <c r="V30" s="159"/>
      <c r="W30" s="55"/>
    </row>
    <row r="31" spans="1:23" ht="13.5" customHeight="1">
      <c r="A31" s="56"/>
      <c r="B31" s="57" t="s">
        <v>33</v>
      </c>
      <c r="C31" s="1"/>
      <c r="D31" s="1"/>
      <c r="E31" s="1"/>
      <c r="F31" s="1"/>
      <c r="G31" s="1"/>
      <c r="H31" s="1"/>
      <c r="I31" s="1"/>
      <c r="J31" s="1"/>
      <c r="K31" s="58"/>
      <c r="L31" s="59"/>
      <c r="M31" s="60"/>
      <c r="N31" s="60"/>
      <c r="O31" s="158"/>
      <c r="P31" s="158"/>
      <c r="Q31" s="158"/>
      <c r="R31" s="159"/>
      <c r="S31" s="158"/>
      <c r="T31" s="159"/>
      <c r="U31" s="160"/>
      <c r="V31" s="159"/>
      <c r="W31" s="55"/>
    </row>
    <row r="32" spans="1:24" ht="13.5" customHeight="1">
      <c r="A32" s="56">
        <v>1091</v>
      </c>
      <c r="B32" s="57"/>
      <c r="C32" s="1" t="s">
        <v>54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159">
        <f>5138.1+8542.9</f>
        <v>13681</v>
      </c>
      <c r="M32" s="159"/>
      <c r="N32" s="60"/>
      <c r="O32" s="158"/>
      <c r="P32" s="158"/>
      <c r="Q32" s="158"/>
      <c r="R32" s="159"/>
      <c r="S32" s="158"/>
      <c r="T32" s="159"/>
      <c r="U32" s="160"/>
      <c r="V32" s="159"/>
      <c r="W32" s="55"/>
      <c r="X32">
        <v>13681</v>
      </c>
    </row>
    <row r="33" spans="1:24" ht="13.5" customHeight="1">
      <c r="A33" s="56">
        <v>1092</v>
      </c>
      <c r="B33" s="57"/>
      <c r="C33" s="1" t="s">
        <v>47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159">
        <f>17+34.3</f>
        <v>51.3</v>
      </c>
      <c r="M33" s="159"/>
      <c r="N33" s="60"/>
      <c r="O33" s="158"/>
      <c r="P33" s="158"/>
      <c r="Q33" s="158"/>
      <c r="R33" s="159"/>
      <c r="S33" s="158"/>
      <c r="T33" s="159"/>
      <c r="U33" s="160"/>
      <c r="V33" s="159"/>
      <c r="W33" s="55"/>
      <c r="X33">
        <v>51.3</v>
      </c>
    </row>
    <row r="34" spans="1:24" ht="13.5" customHeight="1">
      <c r="A34" s="56">
        <v>1093</v>
      </c>
      <c r="B34" s="57"/>
      <c r="C34" s="1" t="s">
        <v>25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159">
        <f>1.6+5.7</f>
        <v>7.300000000000001</v>
      </c>
      <c r="M34" s="159"/>
      <c r="N34" s="60"/>
      <c r="O34" s="158"/>
      <c r="P34" s="158"/>
      <c r="Q34" s="158"/>
      <c r="R34" s="159"/>
      <c r="S34" s="158"/>
      <c r="T34" s="159"/>
      <c r="U34" s="160"/>
      <c r="V34" s="159"/>
      <c r="W34" s="55"/>
      <c r="X34">
        <v>7.300000000000001</v>
      </c>
    </row>
    <row r="35" spans="1:24" ht="13.5" customHeight="1">
      <c r="A35" s="56">
        <v>1094</v>
      </c>
      <c r="B35" s="57"/>
      <c r="C35" s="1" t="s">
        <v>0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159">
        <f>L32+L33+L34</f>
        <v>13739.599999999999</v>
      </c>
      <c r="M35" s="159"/>
      <c r="N35" s="60"/>
      <c r="O35" s="158"/>
      <c r="P35" s="158"/>
      <c r="Q35" s="158"/>
      <c r="R35" s="159"/>
      <c r="S35" s="158"/>
      <c r="T35" s="159"/>
      <c r="U35" s="160"/>
      <c r="V35" s="159"/>
      <c r="W35" s="55"/>
      <c r="X35">
        <v>13739.599999999999</v>
      </c>
    </row>
    <row r="36" spans="1:24" ht="13.5" customHeight="1">
      <c r="A36" s="56">
        <v>1100</v>
      </c>
      <c r="B36" s="57" t="s">
        <v>44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159">
        <f>6877.3+14608.6</f>
        <v>21485.9</v>
      </c>
      <c r="M36" s="159"/>
      <c r="N36" s="60"/>
      <c r="O36" s="158"/>
      <c r="P36" s="158"/>
      <c r="Q36" s="158"/>
      <c r="R36" s="159"/>
      <c r="S36" s="158"/>
      <c r="T36" s="159"/>
      <c r="U36" s="160"/>
      <c r="V36" s="159"/>
      <c r="W36" s="55"/>
      <c r="X36">
        <v>21485.9</v>
      </c>
    </row>
    <row r="37" spans="1:23" ht="13.5" customHeight="1">
      <c r="A37" s="56">
        <v>1110</v>
      </c>
      <c r="B37" s="57" t="s">
        <v>15</v>
      </c>
      <c r="C37" s="1"/>
      <c r="D37" s="1"/>
      <c r="E37" s="1"/>
      <c r="F37" s="1"/>
      <c r="G37" s="1"/>
      <c r="H37" s="1"/>
      <c r="I37" s="1"/>
      <c r="J37" s="1"/>
      <c r="K37" s="58" t="s">
        <v>56</v>
      </c>
      <c r="L37" s="162">
        <f>L35/L36</f>
        <v>0.6394705364913733</v>
      </c>
      <c r="M37" s="162"/>
      <c r="N37" s="62"/>
      <c r="O37" s="158"/>
      <c r="P37" s="158"/>
      <c r="Q37" s="158"/>
      <c r="R37" s="159"/>
      <c r="S37" s="158"/>
      <c r="T37" s="159"/>
      <c r="U37" s="160"/>
      <c r="V37" s="159"/>
      <c r="W37" s="55"/>
    </row>
    <row r="38" spans="1:23" ht="11.25" customHeight="1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59"/>
      <c r="M38" s="60"/>
      <c r="N38" s="60"/>
      <c r="O38" s="158"/>
      <c r="P38" s="158"/>
      <c r="Q38" s="158"/>
      <c r="R38" s="159"/>
      <c r="S38" s="158"/>
      <c r="T38" s="159"/>
      <c r="U38" s="160"/>
      <c r="V38" s="159"/>
      <c r="W38" s="55"/>
    </row>
    <row r="39" spans="1:23" ht="13.5" customHeight="1">
      <c r="A39" s="56"/>
      <c r="B39" s="63" t="s">
        <v>62</v>
      </c>
      <c r="C39" s="1"/>
      <c r="D39" s="1"/>
      <c r="E39" s="1"/>
      <c r="F39" s="1"/>
      <c r="G39" s="1"/>
      <c r="H39" s="1"/>
      <c r="I39" s="1"/>
      <c r="J39" s="1"/>
      <c r="K39" s="58"/>
      <c r="L39" s="64"/>
      <c r="M39" s="65"/>
      <c r="N39" s="65"/>
      <c r="O39" s="64"/>
      <c r="P39" s="65"/>
      <c r="Q39" s="65"/>
      <c r="R39" s="65"/>
      <c r="S39" s="64"/>
      <c r="T39" s="65"/>
      <c r="U39" s="64"/>
      <c r="V39" s="65"/>
      <c r="W39" s="55"/>
    </row>
    <row r="40" spans="1:24" ht="13.5" customHeight="1">
      <c r="A40" s="56">
        <v>2010</v>
      </c>
      <c r="B40" s="57" t="s">
        <v>29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159">
        <f>0+27.7</f>
        <v>27.7</v>
      </c>
      <c r="M40" s="159"/>
      <c r="N40" s="60"/>
      <c r="O40" s="158"/>
      <c r="P40" s="158"/>
      <c r="Q40" s="158"/>
      <c r="R40" s="159"/>
      <c r="S40" s="158"/>
      <c r="T40" s="159"/>
      <c r="U40" s="160"/>
      <c r="V40" s="159"/>
      <c r="W40" s="55"/>
      <c r="X40">
        <v>27.7</v>
      </c>
    </row>
    <row r="41" spans="1:24" ht="13.5" customHeight="1">
      <c r="A41" s="56">
        <v>2020</v>
      </c>
      <c r="B41" s="57" t="s">
        <v>51</v>
      </c>
      <c r="C41" s="1"/>
      <c r="D41" s="66"/>
      <c r="E41" s="1"/>
      <c r="F41" s="1"/>
      <c r="G41" s="1"/>
      <c r="H41" s="1"/>
      <c r="I41" s="1"/>
      <c r="J41" s="1"/>
      <c r="K41" s="58" t="s">
        <v>24</v>
      </c>
      <c r="L41" s="161">
        <f>0+24</f>
        <v>24</v>
      </c>
      <c r="M41" s="161"/>
      <c r="N41" s="60"/>
      <c r="O41" s="158"/>
      <c r="P41" s="158"/>
      <c r="Q41" s="158"/>
      <c r="R41" s="159"/>
      <c r="S41" s="158"/>
      <c r="T41" s="159"/>
      <c r="U41" s="160"/>
      <c r="V41" s="159"/>
      <c r="W41" s="55"/>
      <c r="X41">
        <v>24</v>
      </c>
    </row>
    <row r="42" spans="1:24" ht="13.5" customHeight="1">
      <c r="A42" s="56">
        <v>2030</v>
      </c>
      <c r="B42" s="57" t="s">
        <v>34</v>
      </c>
      <c r="C42" s="1"/>
      <c r="D42" s="1"/>
      <c r="E42" s="1"/>
      <c r="F42" s="1"/>
      <c r="G42" s="1"/>
      <c r="H42" s="1"/>
      <c r="I42" s="1"/>
      <c r="J42" s="1"/>
      <c r="K42" s="58" t="s">
        <v>24</v>
      </c>
      <c r="L42" s="159">
        <f>0+39</f>
        <v>39</v>
      </c>
      <c r="M42" s="159"/>
      <c r="N42" s="60"/>
      <c r="O42" s="158"/>
      <c r="P42" s="158"/>
      <c r="Q42" s="158"/>
      <c r="R42" s="159"/>
      <c r="S42" s="158"/>
      <c r="T42" s="159"/>
      <c r="U42" s="160"/>
      <c r="V42" s="159"/>
      <c r="W42" s="55"/>
      <c r="X42">
        <v>39</v>
      </c>
    </row>
    <row r="43" spans="1:24" ht="13.5" customHeight="1">
      <c r="A43" s="56">
        <v>2040</v>
      </c>
      <c r="B43" s="57" t="s">
        <v>71</v>
      </c>
      <c r="C43" s="1"/>
      <c r="D43" s="1"/>
      <c r="E43" s="1"/>
      <c r="F43" s="1"/>
      <c r="G43" s="1"/>
      <c r="H43" s="1"/>
      <c r="I43" s="1"/>
      <c r="J43" s="1"/>
      <c r="K43" s="58" t="s">
        <v>24</v>
      </c>
      <c r="L43" s="161">
        <f>0+3082</f>
        <v>3082</v>
      </c>
      <c r="M43" s="161"/>
      <c r="N43" s="61"/>
      <c r="O43" s="158"/>
      <c r="P43" s="158"/>
      <c r="Q43" s="158"/>
      <c r="R43" s="159"/>
      <c r="S43" s="158"/>
      <c r="T43" s="159"/>
      <c r="U43" s="160"/>
      <c r="V43" s="159"/>
      <c r="W43" s="55"/>
      <c r="X43">
        <v>3082</v>
      </c>
    </row>
    <row r="44" spans="1:24" ht="13.5" customHeight="1">
      <c r="A44" s="56">
        <v>2050</v>
      </c>
      <c r="B44" s="57" t="s">
        <v>58</v>
      </c>
      <c r="C44" s="1"/>
      <c r="D44" s="66"/>
      <c r="E44" s="1"/>
      <c r="F44" s="1"/>
      <c r="G44" s="1"/>
      <c r="H44" s="1"/>
      <c r="I44" s="1"/>
      <c r="J44" s="1"/>
      <c r="K44" s="58" t="s">
        <v>24</v>
      </c>
      <c r="L44" s="159">
        <f>0+0+0+0</f>
        <v>0</v>
      </c>
      <c r="M44" s="159"/>
      <c r="N44" s="60"/>
      <c r="O44" s="158"/>
      <c r="P44" s="158"/>
      <c r="Q44" s="158"/>
      <c r="R44" s="159"/>
      <c r="S44" s="158"/>
      <c r="T44" s="159"/>
      <c r="U44" s="160"/>
      <c r="V44" s="159"/>
      <c r="W44" s="55"/>
      <c r="X44">
        <v>0</v>
      </c>
    </row>
    <row r="45" spans="1:24" ht="13.5" customHeight="1">
      <c r="A45" s="56">
        <v>2060</v>
      </c>
      <c r="B45" s="57" t="s">
        <v>22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159">
        <f>0+3551.1</f>
        <v>3551.1</v>
      </c>
      <c r="M45" s="159"/>
      <c r="N45" s="60"/>
      <c r="O45" s="158"/>
      <c r="P45" s="158"/>
      <c r="Q45" s="158"/>
      <c r="R45" s="159"/>
      <c r="S45" s="158"/>
      <c r="T45" s="159"/>
      <c r="U45" s="160"/>
      <c r="V45" s="159"/>
      <c r="W45" s="55"/>
      <c r="X45">
        <v>3551.1</v>
      </c>
    </row>
    <row r="46" spans="1:24" ht="13.5" customHeight="1">
      <c r="A46" s="56">
        <v>2070</v>
      </c>
      <c r="B46" s="57" t="s">
        <v>53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159">
        <f>0+4824.1</f>
        <v>4824.1</v>
      </c>
      <c r="M46" s="159"/>
      <c r="N46" s="60"/>
      <c r="O46" s="158"/>
      <c r="P46" s="158"/>
      <c r="Q46" s="158"/>
      <c r="R46" s="159"/>
      <c r="S46" s="158"/>
      <c r="T46" s="159"/>
      <c r="U46" s="160"/>
      <c r="V46" s="159"/>
      <c r="W46" s="55"/>
      <c r="X46">
        <v>4824.1</v>
      </c>
    </row>
    <row r="47" spans="1:23" ht="13.5" customHeight="1">
      <c r="A47" s="56"/>
      <c r="B47" s="57" t="s">
        <v>13</v>
      </c>
      <c r="C47" s="1" t="s">
        <v>61</v>
      </c>
      <c r="D47" s="1"/>
      <c r="E47" s="1"/>
      <c r="F47" s="1"/>
      <c r="G47" s="1"/>
      <c r="H47" s="1"/>
      <c r="I47" s="1"/>
      <c r="J47" s="1"/>
      <c r="K47" s="58"/>
      <c r="L47" s="59"/>
      <c r="M47" s="60"/>
      <c r="N47" s="60"/>
      <c r="O47" s="158"/>
      <c r="P47" s="158"/>
      <c r="Q47" s="158"/>
      <c r="R47" s="159"/>
      <c r="S47" s="158"/>
      <c r="T47" s="159"/>
      <c r="U47" s="160"/>
      <c r="V47" s="159"/>
      <c r="W47" s="55"/>
    </row>
    <row r="48" spans="1:24" ht="13.5" customHeight="1">
      <c r="A48" s="56">
        <v>2091</v>
      </c>
      <c r="B48" s="57"/>
      <c r="C48" s="1" t="s">
        <v>54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159">
        <f>0+355.1</f>
        <v>355.1</v>
      </c>
      <c r="M48" s="159"/>
      <c r="N48" s="60"/>
      <c r="O48" s="158"/>
      <c r="P48" s="158"/>
      <c r="Q48" s="158"/>
      <c r="R48" s="159"/>
      <c r="S48" s="158"/>
      <c r="T48" s="159"/>
      <c r="U48" s="160"/>
      <c r="V48" s="159"/>
      <c r="W48" s="55"/>
      <c r="X48">
        <v>355.1</v>
      </c>
    </row>
    <row r="49" spans="1:24" ht="13.5" customHeight="1">
      <c r="A49" s="56">
        <v>2092</v>
      </c>
      <c r="B49" s="57"/>
      <c r="C49" s="1" t="s">
        <v>35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159">
        <f>0+0+0+0</f>
        <v>0</v>
      </c>
      <c r="M49" s="159"/>
      <c r="N49" s="60"/>
      <c r="O49" s="158"/>
      <c r="P49" s="158"/>
      <c r="Q49" s="158"/>
      <c r="R49" s="159"/>
      <c r="S49" s="158"/>
      <c r="T49" s="159"/>
      <c r="U49" s="160"/>
      <c r="V49" s="159"/>
      <c r="W49" s="55"/>
      <c r="X49">
        <v>0</v>
      </c>
    </row>
    <row r="50" spans="1:24" ht="13.5" customHeight="1">
      <c r="A50" s="56">
        <v>2094</v>
      </c>
      <c r="B50" s="57"/>
      <c r="C50" s="1" t="s">
        <v>26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159">
        <f>L48+L49</f>
        <v>355.1</v>
      </c>
      <c r="M50" s="159"/>
      <c r="N50" s="60"/>
      <c r="O50" s="158"/>
      <c r="P50" s="158"/>
      <c r="Q50" s="158"/>
      <c r="R50" s="159"/>
      <c r="S50" s="158"/>
      <c r="T50" s="159"/>
      <c r="U50" s="160"/>
      <c r="V50" s="159"/>
      <c r="W50" s="55"/>
      <c r="X50">
        <v>355.1</v>
      </c>
    </row>
    <row r="51" spans="1:24" ht="13.5" customHeight="1">
      <c r="A51" s="56">
        <v>2100</v>
      </c>
      <c r="B51" s="57" t="s">
        <v>31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159">
        <f>0+492.5</f>
        <v>492.5</v>
      </c>
      <c r="M51" s="159"/>
      <c r="N51" s="60"/>
      <c r="O51" s="158"/>
      <c r="P51" s="158"/>
      <c r="Q51" s="158"/>
      <c r="R51" s="159"/>
      <c r="S51" s="158"/>
      <c r="T51" s="159"/>
      <c r="U51" s="160"/>
      <c r="V51" s="159"/>
      <c r="W51" s="55"/>
      <c r="X51">
        <v>492.5</v>
      </c>
    </row>
    <row r="52" spans="1:23" ht="10.5" customHeight="1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59"/>
      <c r="M52" s="60"/>
      <c r="N52" s="60"/>
      <c r="O52" s="158"/>
      <c r="P52" s="158"/>
      <c r="Q52" s="158"/>
      <c r="R52" s="159"/>
      <c r="S52" s="158"/>
      <c r="T52" s="159"/>
      <c r="U52" s="160"/>
      <c r="V52" s="159"/>
      <c r="W52" s="55"/>
    </row>
    <row r="53" spans="1:23" ht="13.5" customHeight="1">
      <c r="A53" s="56"/>
      <c r="B53" s="63" t="s">
        <v>66</v>
      </c>
      <c r="C53" s="1"/>
      <c r="D53" s="1"/>
      <c r="E53" s="1"/>
      <c r="F53" s="1"/>
      <c r="G53" s="1"/>
      <c r="H53" s="1"/>
      <c r="I53" s="1"/>
      <c r="J53" s="1"/>
      <c r="K53" s="58"/>
      <c r="L53" s="64"/>
      <c r="M53" s="65"/>
      <c r="N53" s="65"/>
      <c r="O53" s="64"/>
      <c r="P53" s="65"/>
      <c r="Q53" s="65"/>
      <c r="R53" s="65"/>
      <c r="S53" s="64"/>
      <c r="T53" s="65"/>
      <c r="U53" s="64"/>
      <c r="V53" s="65"/>
      <c r="W53" s="55"/>
    </row>
    <row r="54" spans="1:23" ht="13.5" customHeight="1">
      <c r="A54" s="56">
        <v>2330</v>
      </c>
      <c r="B54" s="57" t="s">
        <v>68</v>
      </c>
      <c r="C54" s="1"/>
      <c r="D54" s="1"/>
      <c r="E54" s="1"/>
      <c r="F54" s="1"/>
      <c r="G54" s="1"/>
      <c r="H54" s="1"/>
      <c r="I54" s="1"/>
      <c r="J54" s="1"/>
      <c r="K54" s="58" t="s">
        <v>24</v>
      </c>
      <c r="L54" s="159">
        <f>0+4.6</f>
        <v>4.6</v>
      </c>
      <c r="M54" s="159"/>
      <c r="N54" s="60"/>
      <c r="O54" s="158">
        <v>1.8</v>
      </c>
      <c r="P54" s="158"/>
      <c r="Q54" s="158"/>
      <c r="R54" s="159"/>
      <c r="S54" s="158"/>
      <c r="T54" s="159"/>
      <c r="U54" s="160"/>
      <c r="V54" s="159"/>
      <c r="W54" s="55"/>
    </row>
    <row r="55" spans="1:23" ht="10.5" customHeight="1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72"/>
      <c r="M55" s="2"/>
      <c r="N55" s="69"/>
      <c r="O55" s="68"/>
      <c r="P55" s="2"/>
      <c r="Q55" s="2"/>
      <c r="R55" s="2"/>
      <c r="S55" s="72"/>
      <c r="T55" s="2"/>
      <c r="U55" s="72"/>
      <c r="V55" s="2"/>
      <c r="W55" s="55"/>
    </row>
    <row r="56" spans="1:23" ht="24.75" customHeight="1" thickBot="1">
      <c r="A56" s="73" t="s">
        <v>50</v>
      </c>
      <c r="B56" s="75"/>
      <c r="C56" s="77"/>
      <c r="D56" s="77"/>
      <c r="E56" s="78"/>
      <c r="F56" s="78"/>
      <c r="G56" s="78"/>
      <c r="H56" s="78"/>
      <c r="I56" s="78"/>
      <c r="J56" s="78"/>
      <c r="K56" s="79"/>
      <c r="L56" s="79"/>
      <c r="M56" s="79"/>
      <c r="N56" s="78"/>
      <c r="O56" s="78"/>
      <c r="P56" s="71"/>
      <c r="Q56" s="71"/>
      <c r="R56" s="71"/>
      <c r="S56" s="71"/>
      <c r="T56" s="71"/>
      <c r="U56" s="71"/>
      <c r="V56" s="71"/>
      <c r="W56" s="55"/>
    </row>
    <row r="57" spans="1:15" ht="12.75" customHeight="1">
      <c r="A57" s="74"/>
      <c r="B57" s="76"/>
      <c r="C57" s="74"/>
      <c r="D57" s="76"/>
      <c r="E57" s="74"/>
      <c r="F57" s="74"/>
      <c r="G57" s="74"/>
      <c r="H57" s="74"/>
      <c r="I57" s="74"/>
      <c r="J57" s="74"/>
      <c r="K57" s="80"/>
      <c r="L57" s="81"/>
      <c r="M57" s="81"/>
      <c r="N57" s="74"/>
      <c r="O57" s="74"/>
    </row>
    <row r="58" spans="1:15" ht="12.75" customHeight="1">
      <c r="A58" s="84"/>
      <c r="B58" s="85"/>
      <c r="C58" s="84"/>
      <c r="D58" s="85"/>
      <c r="E58" s="84"/>
      <c r="F58" s="84"/>
      <c r="G58" s="84"/>
      <c r="H58" s="84"/>
      <c r="I58" s="84"/>
      <c r="J58" s="84"/>
      <c r="K58" s="86"/>
      <c r="L58" s="87"/>
      <c r="M58" s="87"/>
      <c r="N58" s="84"/>
      <c r="O58" s="84"/>
    </row>
    <row r="59" spans="1:15" ht="12.75" customHeight="1">
      <c r="A59" s="84"/>
      <c r="B59" s="85"/>
      <c r="C59" s="84"/>
      <c r="D59" s="85"/>
      <c r="E59" s="84"/>
      <c r="F59" s="84"/>
      <c r="G59" s="84"/>
      <c r="H59" s="84"/>
      <c r="I59" s="84"/>
      <c r="J59" s="84"/>
      <c r="K59" s="86"/>
      <c r="L59" s="87"/>
      <c r="M59" s="87"/>
      <c r="N59" s="84"/>
      <c r="O59" s="84"/>
    </row>
    <row r="63" spans="1:16" s="88" customFormat="1" ht="23.25">
      <c r="A63" s="88" t="s">
        <v>79</v>
      </c>
      <c r="P63" s="88" t="s">
        <v>80</v>
      </c>
    </row>
  </sheetData>
  <sheetProtection/>
  <mergeCells count="116">
    <mergeCell ref="L23:M23"/>
    <mergeCell ref="O23:R23"/>
    <mergeCell ref="S23:T23"/>
    <mergeCell ref="U23:V23"/>
    <mergeCell ref="L24:M24"/>
    <mergeCell ref="O24:R24"/>
    <mergeCell ref="S24:T24"/>
    <mergeCell ref="U24:V24"/>
    <mergeCell ref="L25:M25"/>
    <mergeCell ref="O25:R25"/>
    <mergeCell ref="S25:T25"/>
    <mergeCell ref="U25:V25"/>
    <mergeCell ref="L26:M26"/>
    <mergeCell ref="O26:R26"/>
    <mergeCell ref="S26:T26"/>
    <mergeCell ref="U26:V26"/>
    <mergeCell ref="L27:M27"/>
    <mergeCell ref="O27:R27"/>
    <mergeCell ref="S27:T27"/>
    <mergeCell ref="U27:V27"/>
    <mergeCell ref="L28:M28"/>
    <mergeCell ref="O28:R28"/>
    <mergeCell ref="S28:T28"/>
    <mergeCell ref="U28:V28"/>
    <mergeCell ref="L29:M29"/>
    <mergeCell ref="O29:R29"/>
    <mergeCell ref="S29:T29"/>
    <mergeCell ref="U29:V29"/>
    <mergeCell ref="L30:M30"/>
    <mergeCell ref="O30:R30"/>
    <mergeCell ref="S30:T30"/>
    <mergeCell ref="U30:V30"/>
    <mergeCell ref="O31:R31"/>
    <mergeCell ref="S31:T31"/>
    <mergeCell ref="U31:V31"/>
    <mergeCell ref="L32:M32"/>
    <mergeCell ref="O32:R32"/>
    <mergeCell ref="S32:T32"/>
    <mergeCell ref="U32:V32"/>
    <mergeCell ref="L33:M33"/>
    <mergeCell ref="O33:R33"/>
    <mergeCell ref="S33:T33"/>
    <mergeCell ref="U33:V33"/>
    <mergeCell ref="L34:M34"/>
    <mergeCell ref="O34:R34"/>
    <mergeCell ref="S34:T34"/>
    <mergeCell ref="U34:V34"/>
    <mergeCell ref="L35:M35"/>
    <mergeCell ref="O35:R35"/>
    <mergeCell ref="S35:T35"/>
    <mergeCell ref="U35:V35"/>
    <mergeCell ref="L36:M36"/>
    <mergeCell ref="O36:R36"/>
    <mergeCell ref="S36:T36"/>
    <mergeCell ref="U36:V36"/>
    <mergeCell ref="L37:M37"/>
    <mergeCell ref="O37:R37"/>
    <mergeCell ref="S37:T37"/>
    <mergeCell ref="U37:V37"/>
    <mergeCell ref="O38:R38"/>
    <mergeCell ref="S38:T38"/>
    <mergeCell ref="U38:V38"/>
    <mergeCell ref="L40:M40"/>
    <mergeCell ref="O40:R40"/>
    <mergeCell ref="S40:T40"/>
    <mergeCell ref="U40:V40"/>
    <mergeCell ref="L41:M41"/>
    <mergeCell ref="O41:R41"/>
    <mergeCell ref="S41:T41"/>
    <mergeCell ref="U41:V41"/>
    <mergeCell ref="L42:M42"/>
    <mergeCell ref="O42:R42"/>
    <mergeCell ref="S42:T42"/>
    <mergeCell ref="U42:V42"/>
    <mergeCell ref="L43:M43"/>
    <mergeCell ref="O43:R43"/>
    <mergeCell ref="S43:T43"/>
    <mergeCell ref="U43:V43"/>
    <mergeCell ref="L44:M44"/>
    <mergeCell ref="O44:R44"/>
    <mergeCell ref="S44:T44"/>
    <mergeCell ref="U44:V44"/>
    <mergeCell ref="L45:M45"/>
    <mergeCell ref="O45:R45"/>
    <mergeCell ref="S45:T45"/>
    <mergeCell ref="U45:V45"/>
    <mergeCell ref="L46:M46"/>
    <mergeCell ref="O46:R46"/>
    <mergeCell ref="S46:T46"/>
    <mergeCell ref="U46:V46"/>
    <mergeCell ref="O47:R47"/>
    <mergeCell ref="S47:T47"/>
    <mergeCell ref="U47:V47"/>
    <mergeCell ref="L48:M48"/>
    <mergeCell ref="O48:R48"/>
    <mergeCell ref="S48:T48"/>
    <mergeCell ref="U48:V48"/>
    <mergeCell ref="L49:M49"/>
    <mergeCell ref="O49:R49"/>
    <mergeCell ref="S49:T49"/>
    <mergeCell ref="U49:V49"/>
    <mergeCell ref="L50:M50"/>
    <mergeCell ref="O50:R50"/>
    <mergeCell ref="S50:T50"/>
    <mergeCell ref="U50:V50"/>
    <mergeCell ref="L51:M51"/>
    <mergeCell ref="O51:R51"/>
    <mergeCell ref="S51:T51"/>
    <mergeCell ref="U51:V51"/>
    <mergeCell ref="O52:R52"/>
    <mergeCell ref="S52:T52"/>
    <mergeCell ref="U52:V52"/>
    <mergeCell ref="L54:M54"/>
    <mergeCell ref="O54:R54"/>
    <mergeCell ref="S54:T54"/>
    <mergeCell ref="U54:V54"/>
  </mergeCells>
  <hyperlinks>
    <hyperlink ref="B13" r:id="rId1" display="cdulgheru@airmoldova.md"/>
  </hyperlink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showZeros="0" zoomScalePageLayoutView="0" workbookViewId="0" topLeftCell="A16">
      <selection activeCell="Y54" sqref="Y54"/>
    </sheetView>
  </sheetViews>
  <sheetFormatPr defaultColWidth="9.140625" defaultRowHeight="12.75"/>
  <cols>
    <col min="1" max="1" width="12.8515625" style="0" customWidth="1"/>
    <col min="2" max="2" width="2.57421875" style="0" customWidth="1"/>
    <col min="3" max="3" width="2.7109375" style="0" customWidth="1"/>
    <col min="4" max="5" width="4.140625" style="0" customWidth="1"/>
    <col min="6" max="6" width="6.57421875" style="0" customWidth="1"/>
    <col min="7" max="7" width="7.140625" style="0" customWidth="1"/>
    <col min="8" max="8" width="6.8515625" style="0" customWidth="1"/>
    <col min="9" max="9" width="3.421875" style="0" customWidth="1"/>
    <col min="10" max="10" width="2.8515625" style="0" customWidth="1"/>
    <col min="11" max="11" width="8.421875" style="0" customWidth="1"/>
    <col min="12" max="12" width="7.28125" style="0" customWidth="1"/>
    <col min="13" max="13" width="4.7109375" style="0" customWidth="1"/>
    <col min="14" max="14" width="1.28515625" style="0" customWidth="1"/>
    <col min="15" max="18" width="3.28125" style="0" customWidth="1"/>
    <col min="19" max="22" width="6.57421875" style="0" customWidth="1"/>
    <col min="23" max="23" width="0.71875" style="0" customWidth="1"/>
  </cols>
  <sheetData>
    <row r="1" spans="1:22" ht="12.75" customHeight="1">
      <c r="A1" s="89"/>
      <c r="B1" s="89"/>
      <c r="C1" s="89"/>
      <c r="D1" s="89"/>
      <c r="E1" s="89"/>
      <c r="F1" s="89"/>
      <c r="G1" s="89"/>
      <c r="H1" s="89"/>
      <c r="I1" s="89"/>
      <c r="J1" s="2"/>
      <c r="K1" s="90"/>
      <c r="L1" s="89"/>
      <c r="M1" s="89"/>
      <c r="N1" s="89"/>
      <c r="O1" s="89"/>
      <c r="P1" s="89"/>
      <c r="Q1" s="89"/>
      <c r="R1" s="89"/>
      <c r="S1" s="89"/>
      <c r="T1" s="89"/>
      <c r="U1" s="89"/>
      <c r="V1" s="91" t="s">
        <v>48</v>
      </c>
    </row>
    <row r="2" spans="1:22" ht="14.25" customHeight="1">
      <c r="A2" s="92" t="s">
        <v>5</v>
      </c>
      <c r="B2" s="6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14.25" customHeight="1">
      <c r="A3" s="92" t="s">
        <v>7</v>
      </c>
      <c r="B3" s="6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14.25" customHeight="1">
      <c r="A4" s="92" t="s">
        <v>45</v>
      </c>
      <c r="B4" s="6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12.75" customHeight="1">
      <c r="A5" s="89"/>
      <c r="B5" s="89"/>
      <c r="C5" s="89"/>
      <c r="D5" s="89"/>
      <c r="E5" s="89"/>
      <c r="F5" s="89"/>
      <c r="G5" s="89"/>
      <c r="H5" s="89"/>
      <c r="I5" s="89"/>
      <c r="J5" s="91"/>
      <c r="K5" s="90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1:22" ht="12.75" customHeight="1">
      <c r="A6" s="89"/>
      <c r="B6" s="89"/>
      <c r="C6" s="89"/>
      <c r="D6" s="89"/>
      <c r="E6" s="89"/>
      <c r="F6" s="89"/>
      <c r="G6" s="89"/>
      <c r="H6" s="89"/>
      <c r="I6" s="89"/>
      <c r="J6" s="91"/>
      <c r="K6" s="90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</row>
    <row r="7" spans="1:22" ht="12.75" customHeight="1">
      <c r="A7" s="89"/>
      <c r="B7" s="89"/>
      <c r="C7" s="89"/>
      <c r="D7" s="89"/>
      <c r="E7" s="89"/>
      <c r="F7" s="89"/>
      <c r="G7" s="89"/>
      <c r="H7" s="89"/>
      <c r="I7" s="89"/>
      <c r="J7" s="91"/>
      <c r="K7" s="90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2.75" customHeight="1">
      <c r="A8" s="89"/>
      <c r="B8" s="89"/>
      <c r="C8" s="89"/>
      <c r="D8" s="89"/>
      <c r="E8" s="89"/>
      <c r="F8" s="89"/>
      <c r="G8" s="89"/>
      <c r="H8" s="89"/>
      <c r="I8" s="89"/>
      <c r="J8" s="91"/>
      <c r="K8" s="90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22" ht="14.25" customHeight="1">
      <c r="A9" s="93" t="s">
        <v>4</v>
      </c>
      <c r="B9" s="82" t="s">
        <v>43</v>
      </c>
      <c r="C9" s="94"/>
      <c r="D9" s="94"/>
      <c r="E9" s="94"/>
      <c r="F9" s="10"/>
      <c r="G9" s="94"/>
      <c r="H9" s="94"/>
      <c r="I9" s="10"/>
      <c r="J9" s="10"/>
      <c r="K9" s="90"/>
      <c r="L9" s="89"/>
      <c r="M9" s="89"/>
      <c r="N9" s="93" t="s">
        <v>6</v>
      </c>
      <c r="O9" s="94" t="s">
        <v>9</v>
      </c>
      <c r="P9" s="94"/>
      <c r="Q9" s="94"/>
      <c r="R9" s="94"/>
      <c r="S9" s="94"/>
      <c r="T9" s="94"/>
      <c r="U9" s="89"/>
      <c r="V9" s="89"/>
    </row>
    <row r="10" spans="1:22" ht="14.25" customHeight="1">
      <c r="A10" s="93" t="s">
        <v>18</v>
      </c>
      <c r="B10" s="95" t="s">
        <v>52</v>
      </c>
      <c r="C10" s="96"/>
      <c r="D10" s="96"/>
      <c r="E10" s="96"/>
      <c r="F10" s="13"/>
      <c r="G10" s="96"/>
      <c r="H10" s="96"/>
      <c r="I10" s="13"/>
      <c r="J10" s="13"/>
      <c r="K10" s="90"/>
      <c r="L10" s="89"/>
      <c r="M10" s="89"/>
      <c r="N10" s="93" t="s">
        <v>67</v>
      </c>
      <c r="O10" s="95" t="s">
        <v>52</v>
      </c>
      <c r="P10" s="96"/>
      <c r="Q10" s="96"/>
      <c r="R10" s="96"/>
      <c r="S10" s="96"/>
      <c r="T10" s="96"/>
      <c r="U10" s="89"/>
      <c r="V10" s="89"/>
    </row>
    <row r="11" spans="1:22" ht="14.25" customHeight="1">
      <c r="A11" s="93" t="s">
        <v>12</v>
      </c>
      <c r="B11" s="96" t="s">
        <v>30</v>
      </c>
      <c r="C11" s="96"/>
      <c r="D11" s="96"/>
      <c r="E11" s="96"/>
      <c r="F11" s="13"/>
      <c r="G11" s="96"/>
      <c r="H11" s="96"/>
      <c r="I11" s="13"/>
      <c r="J11" s="13"/>
      <c r="K11" s="90"/>
      <c r="L11" s="89"/>
      <c r="M11" s="89"/>
      <c r="N11" s="93"/>
      <c r="O11" s="96"/>
      <c r="P11" s="96"/>
      <c r="Q11" s="96"/>
      <c r="R11" s="96"/>
      <c r="S11" s="96"/>
      <c r="T11" s="96"/>
      <c r="U11" s="89"/>
      <c r="V11" s="89"/>
    </row>
    <row r="12" spans="1:22" ht="14.25" customHeight="1">
      <c r="A12" s="93" t="s">
        <v>46</v>
      </c>
      <c r="B12" s="96" t="s">
        <v>19</v>
      </c>
      <c r="C12" s="96"/>
      <c r="D12" s="96"/>
      <c r="E12" s="96"/>
      <c r="F12" s="13"/>
      <c r="G12" s="96"/>
      <c r="H12" s="96"/>
      <c r="I12" s="13"/>
      <c r="J12" s="13"/>
      <c r="K12" s="90"/>
      <c r="L12" s="89"/>
      <c r="M12" s="89"/>
      <c r="N12" s="93" t="s">
        <v>60</v>
      </c>
      <c r="O12" s="92" t="s">
        <v>81</v>
      </c>
      <c r="P12" s="94"/>
      <c r="Q12" s="94"/>
      <c r="R12" s="94"/>
      <c r="S12" s="94"/>
      <c r="T12" s="94"/>
      <c r="U12" s="89"/>
      <c r="V12" s="89"/>
    </row>
    <row r="13" spans="1:22" ht="14.25" customHeight="1">
      <c r="A13" s="93" t="s">
        <v>40</v>
      </c>
      <c r="B13" s="96" t="s">
        <v>65</v>
      </c>
      <c r="C13" s="96"/>
      <c r="D13" s="96"/>
      <c r="E13" s="96"/>
      <c r="F13" s="13"/>
      <c r="G13" s="96"/>
      <c r="H13" s="96"/>
      <c r="I13" s="13"/>
      <c r="J13" s="13"/>
      <c r="K13" s="90"/>
      <c r="L13" s="89"/>
      <c r="M13" s="89"/>
      <c r="N13" s="93" t="s">
        <v>21</v>
      </c>
      <c r="O13" s="95">
        <v>2017</v>
      </c>
      <c r="P13" s="96"/>
      <c r="Q13" s="96"/>
      <c r="R13" s="96"/>
      <c r="S13" s="96"/>
      <c r="T13" s="96"/>
      <c r="U13" s="89"/>
      <c r="V13" s="89"/>
    </row>
    <row r="14" spans="1:22" ht="18" customHeight="1">
      <c r="A14" s="89"/>
      <c r="B14" s="97"/>
      <c r="C14" s="97"/>
      <c r="D14" s="97"/>
      <c r="E14" s="97"/>
      <c r="F14" s="97"/>
      <c r="G14" s="97"/>
      <c r="H14" s="97"/>
      <c r="I14" s="97"/>
      <c r="J14" s="98"/>
      <c r="K14" s="90"/>
      <c r="L14" s="89"/>
      <c r="M14" s="89"/>
      <c r="N14" s="89"/>
      <c r="O14" s="97"/>
      <c r="P14" s="97"/>
      <c r="Q14" s="97"/>
      <c r="R14" s="97"/>
      <c r="S14" s="97"/>
      <c r="T14" s="97"/>
      <c r="U14" s="89"/>
      <c r="V14" s="89"/>
    </row>
    <row r="15" spans="1:22" ht="12.75" customHeight="1" thickBot="1">
      <c r="A15" s="89"/>
      <c r="B15" s="89"/>
      <c r="C15" s="89"/>
      <c r="D15" s="89"/>
      <c r="E15" s="89"/>
      <c r="F15" s="89"/>
      <c r="G15" s="89"/>
      <c r="H15" s="89"/>
      <c r="I15" s="89"/>
      <c r="J15" s="91"/>
      <c r="K15" s="90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</row>
    <row r="16" spans="1:22" ht="15" customHeight="1">
      <c r="A16" s="99"/>
      <c r="B16" s="100"/>
      <c r="C16" s="101"/>
      <c r="D16" s="101"/>
      <c r="E16" s="101"/>
      <c r="F16" s="101"/>
      <c r="G16" s="101"/>
      <c r="H16" s="101"/>
      <c r="I16" s="101"/>
      <c r="J16" s="101"/>
      <c r="K16" s="102"/>
      <c r="L16" s="103" t="s">
        <v>2</v>
      </c>
      <c r="M16" s="104"/>
      <c r="N16" s="105"/>
      <c r="O16" s="105"/>
      <c r="P16" s="105"/>
      <c r="Q16" s="105"/>
      <c r="R16" s="105"/>
      <c r="S16" s="103" t="s">
        <v>63</v>
      </c>
      <c r="T16" s="105"/>
      <c r="U16" s="105"/>
      <c r="V16" s="106"/>
    </row>
    <row r="17" spans="1:22" ht="15" customHeight="1">
      <c r="A17" s="107"/>
      <c r="B17" s="108"/>
      <c r="C17" s="109"/>
      <c r="D17" s="109"/>
      <c r="E17" s="109"/>
      <c r="F17" s="109"/>
      <c r="G17" s="109"/>
      <c r="H17" s="109"/>
      <c r="I17" s="109"/>
      <c r="J17" s="109"/>
      <c r="K17" s="110"/>
      <c r="L17" s="111" t="s">
        <v>28</v>
      </c>
      <c r="M17" s="112"/>
      <c r="N17" s="112"/>
      <c r="O17" s="113"/>
      <c r="P17" s="113"/>
      <c r="Q17" s="112"/>
      <c r="R17" s="112"/>
      <c r="S17" s="111" t="s">
        <v>72</v>
      </c>
      <c r="T17" s="112"/>
      <c r="U17" s="112"/>
      <c r="V17" s="114"/>
    </row>
    <row r="18" spans="1:22" ht="12.75" customHeight="1">
      <c r="A18" s="107" t="s">
        <v>42</v>
      </c>
      <c r="B18" s="108" t="s">
        <v>36</v>
      </c>
      <c r="C18" s="109"/>
      <c r="D18" s="109"/>
      <c r="E18" s="109"/>
      <c r="F18" s="109"/>
      <c r="G18" s="109"/>
      <c r="H18" s="109"/>
      <c r="I18" s="109"/>
      <c r="J18" s="109"/>
      <c r="K18" s="110" t="s">
        <v>20</v>
      </c>
      <c r="L18" s="115" t="s">
        <v>32</v>
      </c>
      <c r="M18" s="116"/>
      <c r="N18" s="116"/>
      <c r="O18" s="117"/>
      <c r="P18" s="117"/>
      <c r="Q18" s="116"/>
      <c r="R18" s="116"/>
      <c r="S18" s="115" t="s">
        <v>38</v>
      </c>
      <c r="T18" s="116"/>
      <c r="U18" s="116"/>
      <c r="V18" s="118"/>
    </row>
    <row r="19" spans="1:22" ht="15" customHeight="1">
      <c r="A19" s="107" t="s">
        <v>3</v>
      </c>
      <c r="B19" s="119"/>
      <c r="C19" s="120"/>
      <c r="D19" s="120"/>
      <c r="E19" s="120"/>
      <c r="F19" s="120"/>
      <c r="G19" s="120"/>
      <c r="H19" s="120"/>
      <c r="I19" s="120"/>
      <c r="J19" s="120"/>
      <c r="K19" s="110"/>
      <c r="L19" s="121" t="s">
        <v>10</v>
      </c>
      <c r="M19" s="122"/>
      <c r="N19" s="122"/>
      <c r="O19" s="123"/>
      <c r="P19" s="122"/>
      <c r="Q19" s="122"/>
      <c r="R19" s="122"/>
      <c r="S19" s="121" t="s">
        <v>10</v>
      </c>
      <c r="T19" s="122"/>
      <c r="U19" s="122"/>
      <c r="V19" s="124"/>
    </row>
    <row r="20" spans="1:22" ht="15" customHeight="1">
      <c r="A20" s="125"/>
      <c r="B20" s="119"/>
      <c r="C20" s="120"/>
      <c r="D20" s="120"/>
      <c r="E20" s="120"/>
      <c r="F20" s="120"/>
      <c r="G20" s="120"/>
      <c r="H20" s="120"/>
      <c r="I20" s="120"/>
      <c r="J20" s="120"/>
      <c r="K20" s="126"/>
      <c r="L20" s="121" t="s">
        <v>11</v>
      </c>
      <c r="M20" s="121"/>
      <c r="N20" s="121"/>
      <c r="O20" s="121" t="s">
        <v>69</v>
      </c>
      <c r="P20" s="121"/>
      <c r="Q20" s="121"/>
      <c r="R20" s="121"/>
      <c r="S20" s="121" t="s">
        <v>11</v>
      </c>
      <c r="T20" s="123"/>
      <c r="U20" s="121" t="s">
        <v>69</v>
      </c>
      <c r="V20" s="127"/>
    </row>
    <row r="21" spans="1:22" ht="12" customHeight="1">
      <c r="A21" s="128"/>
      <c r="B21" s="121" t="s">
        <v>57</v>
      </c>
      <c r="C21" s="129"/>
      <c r="D21" s="129"/>
      <c r="E21" s="129"/>
      <c r="F21" s="129"/>
      <c r="G21" s="129"/>
      <c r="H21" s="129"/>
      <c r="I21" s="129"/>
      <c r="J21" s="129"/>
      <c r="K21" s="130" t="s">
        <v>39</v>
      </c>
      <c r="L21" s="121" t="s">
        <v>23</v>
      </c>
      <c r="M21" s="129"/>
      <c r="N21" s="129"/>
      <c r="O21" s="121" t="s">
        <v>1</v>
      </c>
      <c r="P21" s="129"/>
      <c r="Q21" s="129"/>
      <c r="R21" s="129"/>
      <c r="S21" s="121" t="s">
        <v>55</v>
      </c>
      <c r="T21" s="129"/>
      <c r="U21" s="121" t="s">
        <v>37</v>
      </c>
      <c r="V21" s="124"/>
    </row>
    <row r="22" spans="1:23" ht="21.75" customHeight="1">
      <c r="A22" s="131"/>
      <c r="B22" s="132" t="s">
        <v>70</v>
      </c>
      <c r="C22" s="133"/>
      <c r="D22" s="133"/>
      <c r="E22" s="97"/>
      <c r="F22" s="97"/>
      <c r="G22" s="97"/>
      <c r="H22" s="97"/>
      <c r="I22" s="97"/>
      <c r="J22" s="133"/>
      <c r="K22" s="134"/>
      <c r="L22" s="135"/>
      <c r="M22" s="136"/>
      <c r="N22" s="136"/>
      <c r="O22" s="135"/>
      <c r="P22" s="137"/>
      <c r="Q22" s="136"/>
      <c r="R22" s="136"/>
      <c r="S22" s="135"/>
      <c r="T22" s="136"/>
      <c r="U22" s="135"/>
      <c r="V22" s="137"/>
      <c r="W22" s="55"/>
    </row>
    <row r="23" spans="1:24" ht="14.25" customHeight="1">
      <c r="A23" s="138">
        <v>1010</v>
      </c>
      <c r="B23" s="139" t="s">
        <v>49</v>
      </c>
      <c r="C23" s="89"/>
      <c r="D23" s="89"/>
      <c r="E23" s="89"/>
      <c r="F23" s="89"/>
      <c r="G23" s="89"/>
      <c r="H23" s="89"/>
      <c r="I23" s="89"/>
      <c r="J23" s="89"/>
      <c r="K23" s="140" t="str">
        <f>"000"</f>
        <v>000</v>
      </c>
      <c r="L23" s="166">
        <v>1617.8</v>
      </c>
      <c r="M23" s="166"/>
      <c r="N23" s="142"/>
      <c r="O23" s="165"/>
      <c r="P23" s="165"/>
      <c r="Q23" s="165"/>
      <c r="R23" s="166"/>
      <c r="S23" s="165"/>
      <c r="T23" s="166"/>
      <c r="U23" s="167"/>
      <c r="V23" s="166"/>
      <c r="W23" s="55"/>
      <c r="X23">
        <v>1617.8</v>
      </c>
    </row>
    <row r="24" spans="1:24" ht="13.5" customHeight="1">
      <c r="A24" s="138">
        <v>1020</v>
      </c>
      <c r="B24" s="139" t="s">
        <v>59</v>
      </c>
      <c r="C24" s="89"/>
      <c r="D24" s="89"/>
      <c r="E24" s="89"/>
      <c r="F24" s="89"/>
      <c r="G24" s="89"/>
      <c r="H24" s="89"/>
      <c r="I24" s="89"/>
      <c r="J24" s="89"/>
      <c r="K24" s="140" t="s">
        <v>24</v>
      </c>
      <c r="L24" s="168">
        <v>1082</v>
      </c>
      <c r="M24" s="168"/>
      <c r="N24" s="143"/>
      <c r="O24" s="170"/>
      <c r="P24" s="170"/>
      <c r="Q24" s="170"/>
      <c r="R24" s="168"/>
      <c r="S24" s="170"/>
      <c r="T24" s="168"/>
      <c r="U24" s="171"/>
      <c r="V24" s="168"/>
      <c r="W24" s="55"/>
      <c r="X24">
        <v>1082</v>
      </c>
    </row>
    <row r="25" spans="1:24" ht="13.5" customHeight="1">
      <c r="A25" s="138">
        <v>1030</v>
      </c>
      <c r="B25" s="139" t="s">
        <v>16</v>
      </c>
      <c r="C25" s="89"/>
      <c r="D25" s="89"/>
      <c r="E25" s="89"/>
      <c r="F25" s="89"/>
      <c r="G25" s="89"/>
      <c r="H25" s="89"/>
      <c r="I25" s="89"/>
      <c r="J25" s="89"/>
      <c r="K25" s="140" t="s">
        <v>24</v>
      </c>
      <c r="L25" s="166">
        <v>2204.7</v>
      </c>
      <c r="M25" s="166"/>
      <c r="N25" s="142"/>
      <c r="O25" s="165"/>
      <c r="P25" s="165"/>
      <c r="Q25" s="165"/>
      <c r="R25" s="166"/>
      <c r="S25" s="165"/>
      <c r="T25" s="166"/>
      <c r="U25" s="167"/>
      <c r="V25" s="166"/>
      <c r="W25" s="55"/>
      <c r="X25">
        <v>2204.7</v>
      </c>
    </row>
    <row r="26" spans="1:24" ht="13.5" customHeight="1">
      <c r="A26" s="138">
        <v>1040</v>
      </c>
      <c r="B26" s="139" t="s">
        <v>27</v>
      </c>
      <c r="C26" s="89"/>
      <c r="D26" s="89"/>
      <c r="E26" s="89"/>
      <c r="F26" s="89"/>
      <c r="G26" s="89"/>
      <c r="H26" s="89"/>
      <c r="I26" s="89"/>
      <c r="J26" s="89"/>
      <c r="K26" s="140" t="s">
        <v>24</v>
      </c>
      <c r="L26" s="168">
        <v>111553</v>
      </c>
      <c r="M26" s="168"/>
      <c r="N26" s="143"/>
      <c r="O26" s="165"/>
      <c r="P26" s="165"/>
      <c r="Q26" s="165"/>
      <c r="R26" s="166"/>
      <c r="S26" s="165"/>
      <c r="T26" s="166"/>
      <c r="U26" s="167"/>
      <c r="V26" s="166"/>
      <c r="W26" s="55"/>
      <c r="X26">
        <v>111553</v>
      </c>
    </row>
    <row r="27" spans="1:24" ht="13.5" customHeight="1">
      <c r="A27" s="138">
        <v>1050</v>
      </c>
      <c r="B27" s="139" t="s">
        <v>8</v>
      </c>
      <c r="C27" s="89"/>
      <c r="D27" s="89"/>
      <c r="E27" s="89"/>
      <c r="F27" s="89"/>
      <c r="G27" s="89"/>
      <c r="H27" s="89"/>
      <c r="I27" s="89"/>
      <c r="J27" s="89"/>
      <c r="K27" s="140" t="s">
        <v>24</v>
      </c>
      <c r="L27" s="166">
        <f>7.3+15.115+1.4+7.1</f>
        <v>30.915</v>
      </c>
      <c r="M27" s="166"/>
      <c r="N27" s="142"/>
      <c r="O27" s="165"/>
      <c r="P27" s="165"/>
      <c r="Q27" s="165"/>
      <c r="R27" s="166"/>
      <c r="S27" s="165"/>
      <c r="T27" s="166"/>
      <c r="U27" s="167"/>
      <c r="V27" s="166"/>
      <c r="W27" s="55"/>
      <c r="X27">
        <v>30.915</v>
      </c>
    </row>
    <row r="28" spans="1:24" ht="13.5" customHeight="1">
      <c r="A28" s="138">
        <v>1060</v>
      </c>
      <c r="B28" s="139" t="s">
        <v>64</v>
      </c>
      <c r="C28" s="89"/>
      <c r="D28" s="89"/>
      <c r="E28" s="89"/>
      <c r="F28" s="89"/>
      <c r="G28" s="89"/>
      <c r="H28" s="89"/>
      <c r="I28" s="89"/>
      <c r="J28" s="89"/>
      <c r="K28" s="140" t="str">
        <f>"000"</f>
        <v>000</v>
      </c>
      <c r="L28" s="166">
        <f>61518.9+103563.9</f>
        <v>165082.8</v>
      </c>
      <c r="M28" s="166"/>
      <c r="N28" s="142"/>
      <c r="O28" s="165"/>
      <c r="P28" s="165"/>
      <c r="Q28" s="165"/>
      <c r="R28" s="166"/>
      <c r="S28" s="165"/>
      <c r="T28" s="166"/>
      <c r="U28" s="167"/>
      <c r="V28" s="166"/>
      <c r="W28" s="55"/>
      <c r="X28">
        <v>165082.8</v>
      </c>
    </row>
    <row r="29" spans="1:24" ht="13.5" customHeight="1">
      <c r="A29" s="138">
        <v>1070</v>
      </c>
      <c r="B29" s="139" t="s">
        <v>41</v>
      </c>
      <c r="C29" s="89"/>
      <c r="D29" s="89"/>
      <c r="E29" s="89"/>
      <c r="F29" s="89"/>
      <c r="G29" s="89"/>
      <c r="H29" s="89"/>
      <c r="I29" s="89"/>
      <c r="J29" s="89"/>
      <c r="K29" s="140" t="str">
        <f>"000"</f>
        <v>000</v>
      </c>
      <c r="L29" s="166">
        <f>73808.4+138661.8</f>
        <v>212470.19999999998</v>
      </c>
      <c r="M29" s="166"/>
      <c r="N29" s="142"/>
      <c r="O29" s="165"/>
      <c r="P29" s="165"/>
      <c r="Q29" s="165"/>
      <c r="R29" s="166"/>
      <c r="S29" s="165"/>
      <c r="T29" s="166"/>
      <c r="U29" s="167"/>
      <c r="V29" s="166"/>
      <c r="W29" s="55"/>
      <c r="X29">
        <v>212470.19999999998</v>
      </c>
    </row>
    <row r="30" spans="1:23" ht="13.5" customHeight="1">
      <c r="A30" s="138">
        <v>1080</v>
      </c>
      <c r="B30" s="139" t="s">
        <v>14</v>
      </c>
      <c r="C30" s="89"/>
      <c r="D30" s="89"/>
      <c r="E30" s="89"/>
      <c r="F30" s="89"/>
      <c r="G30" s="89"/>
      <c r="H30" s="89"/>
      <c r="I30" s="89"/>
      <c r="J30" s="89"/>
      <c r="K30" s="140" t="s">
        <v>56</v>
      </c>
      <c r="L30" s="169">
        <f>L28/L29</f>
        <v>0.7769691937975302</v>
      </c>
      <c r="M30" s="169"/>
      <c r="N30" s="144"/>
      <c r="O30" s="165"/>
      <c r="P30" s="165"/>
      <c r="Q30" s="165"/>
      <c r="R30" s="166"/>
      <c r="S30" s="165"/>
      <c r="T30" s="166"/>
      <c r="U30" s="167"/>
      <c r="V30" s="166"/>
      <c r="W30" s="55"/>
    </row>
    <row r="31" spans="1:23" ht="13.5" customHeight="1">
      <c r="A31" s="138"/>
      <c r="B31" s="139" t="s">
        <v>33</v>
      </c>
      <c r="C31" s="89"/>
      <c r="D31" s="89"/>
      <c r="E31" s="89"/>
      <c r="F31" s="89"/>
      <c r="G31" s="89"/>
      <c r="H31" s="89"/>
      <c r="I31" s="89"/>
      <c r="J31" s="89"/>
      <c r="K31" s="140"/>
      <c r="L31" s="141"/>
      <c r="M31" s="142"/>
      <c r="N31" s="142"/>
      <c r="O31" s="165"/>
      <c r="P31" s="165"/>
      <c r="Q31" s="165"/>
      <c r="R31" s="166"/>
      <c r="S31" s="165"/>
      <c r="T31" s="166"/>
      <c r="U31" s="167"/>
      <c r="V31" s="166"/>
      <c r="W31" s="55"/>
    </row>
    <row r="32" spans="1:24" ht="13.5" customHeight="1">
      <c r="A32" s="138">
        <v>1091</v>
      </c>
      <c r="B32" s="139"/>
      <c r="C32" s="89" t="s">
        <v>54</v>
      </c>
      <c r="D32" s="89"/>
      <c r="E32" s="89"/>
      <c r="F32" s="89"/>
      <c r="G32" s="89"/>
      <c r="H32" s="89"/>
      <c r="I32" s="89"/>
      <c r="J32" s="89"/>
      <c r="K32" s="140" t="str">
        <f>"000"</f>
        <v>000</v>
      </c>
      <c r="L32" s="166">
        <f>6148.3+10350.6</f>
        <v>16498.9</v>
      </c>
      <c r="M32" s="166"/>
      <c r="N32" s="142"/>
      <c r="O32" s="165"/>
      <c r="P32" s="165"/>
      <c r="Q32" s="165"/>
      <c r="R32" s="166"/>
      <c r="S32" s="165"/>
      <c r="T32" s="166"/>
      <c r="U32" s="167"/>
      <c r="V32" s="166"/>
      <c r="W32" s="55"/>
      <c r="X32">
        <v>16498.9</v>
      </c>
    </row>
    <row r="33" spans="1:24" ht="13.5" customHeight="1">
      <c r="A33" s="138">
        <v>1092</v>
      </c>
      <c r="B33" s="139"/>
      <c r="C33" s="89" t="s">
        <v>47</v>
      </c>
      <c r="D33" s="89"/>
      <c r="E33" s="89"/>
      <c r="F33" s="89"/>
      <c r="G33" s="89"/>
      <c r="H33" s="89"/>
      <c r="I33" s="89"/>
      <c r="J33" s="89"/>
      <c r="K33" s="140" t="str">
        <f>"000"</f>
        <v>000</v>
      </c>
      <c r="L33" s="166">
        <f>8.8+26.7</f>
        <v>35.5</v>
      </c>
      <c r="M33" s="166"/>
      <c r="N33" s="142"/>
      <c r="O33" s="165"/>
      <c r="P33" s="165"/>
      <c r="Q33" s="165"/>
      <c r="R33" s="166"/>
      <c r="S33" s="165"/>
      <c r="T33" s="166"/>
      <c r="U33" s="167"/>
      <c r="V33" s="166"/>
      <c r="W33" s="55"/>
      <c r="X33">
        <v>35.5</v>
      </c>
    </row>
    <row r="34" spans="1:24" ht="13.5" customHeight="1">
      <c r="A34" s="138">
        <v>1093</v>
      </c>
      <c r="B34" s="139"/>
      <c r="C34" s="89" t="s">
        <v>25</v>
      </c>
      <c r="D34" s="89"/>
      <c r="E34" s="89"/>
      <c r="F34" s="89"/>
      <c r="G34" s="89"/>
      <c r="H34" s="89"/>
      <c r="I34" s="89"/>
      <c r="J34" s="89"/>
      <c r="K34" s="140" t="str">
        <f>"000"</f>
        <v>000</v>
      </c>
      <c r="L34" s="166">
        <f>1.6+9.6</f>
        <v>11.2</v>
      </c>
      <c r="M34" s="166"/>
      <c r="N34" s="142"/>
      <c r="O34" s="165"/>
      <c r="P34" s="165"/>
      <c r="Q34" s="165"/>
      <c r="R34" s="166"/>
      <c r="S34" s="165"/>
      <c r="T34" s="166"/>
      <c r="U34" s="167"/>
      <c r="V34" s="166"/>
      <c r="W34" s="55"/>
      <c r="X34">
        <v>11.2</v>
      </c>
    </row>
    <row r="35" spans="1:24" ht="13.5" customHeight="1">
      <c r="A35" s="138">
        <v>1094</v>
      </c>
      <c r="B35" s="139"/>
      <c r="C35" s="89" t="s">
        <v>0</v>
      </c>
      <c r="D35" s="89"/>
      <c r="E35" s="89"/>
      <c r="F35" s="89"/>
      <c r="G35" s="89"/>
      <c r="H35" s="89"/>
      <c r="I35" s="89"/>
      <c r="J35" s="89"/>
      <c r="K35" s="140" t="str">
        <f>"000"</f>
        <v>000</v>
      </c>
      <c r="L35" s="166">
        <f>L32+L33+L34</f>
        <v>16545.600000000002</v>
      </c>
      <c r="M35" s="166"/>
      <c r="N35" s="142"/>
      <c r="O35" s="165"/>
      <c r="P35" s="165"/>
      <c r="Q35" s="165"/>
      <c r="R35" s="166"/>
      <c r="S35" s="165"/>
      <c r="T35" s="166"/>
      <c r="U35" s="167"/>
      <c r="V35" s="166"/>
      <c r="W35" s="55"/>
      <c r="X35">
        <v>16545.600000000002</v>
      </c>
    </row>
    <row r="36" spans="1:24" ht="13.5" customHeight="1">
      <c r="A36" s="138">
        <v>1100</v>
      </c>
      <c r="B36" s="139" t="s">
        <v>44</v>
      </c>
      <c r="C36" s="89"/>
      <c r="D36" s="89"/>
      <c r="E36" s="89"/>
      <c r="F36" s="89"/>
      <c r="G36" s="89"/>
      <c r="H36" s="89"/>
      <c r="I36" s="89"/>
      <c r="J36" s="89"/>
      <c r="K36" s="140" t="str">
        <f>"000"</f>
        <v>000</v>
      </c>
      <c r="L36" s="166">
        <f>8308.2+15818.5</f>
        <v>24126.7</v>
      </c>
      <c r="M36" s="166"/>
      <c r="N36" s="142"/>
      <c r="O36" s="165"/>
      <c r="P36" s="165"/>
      <c r="Q36" s="165"/>
      <c r="R36" s="166"/>
      <c r="S36" s="165"/>
      <c r="T36" s="166"/>
      <c r="U36" s="167"/>
      <c r="V36" s="166"/>
      <c r="W36" s="55"/>
      <c r="X36">
        <v>24126.7</v>
      </c>
    </row>
    <row r="37" spans="1:23" ht="13.5" customHeight="1">
      <c r="A37" s="138">
        <v>1110</v>
      </c>
      <c r="B37" s="139" t="s">
        <v>15</v>
      </c>
      <c r="C37" s="89"/>
      <c r="D37" s="89"/>
      <c r="E37" s="89"/>
      <c r="F37" s="89"/>
      <c r="G37" s="89"/>
      <c r="H37" s="89"/>
      <c r="I37" s="89"/>
      <c r="J37" s="89"/>
      <c r="K37" s="140" t="s">
        <v>56</v>
      </c>
      <c r="L37" s="169">
        <f>L35/L36</f>
        <v>0.6857796549051467</v>
      </c>
      <c r="M37" s="169"/>
      <c r="N37" s="144"/>
      <c r="O37" s="165"/>
      <c r="P37" s="165"/>
      <c r="Q37" s="165"/>
      <c r="R37" s="166"/>
      <c r="S37" s="165"/>
      <c r="T37" s="166"/>
      <c r="U37" s="167"/>
      <c r="V37" s="166"/>
      <c r="W37" s="55"/>
    </row>
    <row r="38" spans="1:23" ht="11.25" customHeight="1">
      <c r="A38" s="138"/>
      <c r="B38" s="139"/>
      <c r="C38" s="89"/>
      <c r="D38" s="89"/>
      <c r="E38" s="89"/>
      <c r="F38" s="89"/>
      <c r="G38" s="89"/>
      <c r="H38" s="89"/>
      <c r="I38" s="89"/>
      <c r="J38" s="89"/>
      <c r="K38" s="140"/>
      <c r="L38" s="141"/>
      <c r="M38" s="142"/>
      <c r="N38" s="142"/>
      <c r="O38" s="165"/>
      <c r="P38" s="165"/>
      <c r="Q38" s="165"/>
      <c r="R38" s="166"/>
      <c r="S38" s="165"/>
      <c r="T38" s="166"/>
      <c r="U38" s="167"/>
      <c r="V38" s="166"/>
      <c r="W38" s="55"/>
    </row>
    <row r="39" spans="1:23" ht="13.5" customHeight="1">
      <c r="A39" s="138"/>
      <c r="B39" s="145" t="s">
        <v>62</v>
      </c>
      <c r="C39" s="89"/>
      <c r="D39" s="89"/>
      <c r="E39" s="89"/>
      <c r="F39" s="89"/>
      <c r="G39" s="89"/>
      <c r="H39" s="89"/>
      <c r="I39" s="89"/>
      <c r="J39" s="89"/>
      <c r="K39" s="140"/>
      <c r="L39" s="146"/>
      <c r="M39" s="147"/>
      <c r="N39" s="147"/>
      <c r="O39" s="146"/>
      <c r="P39" s="147"/>
      <c r="Q39" s="147"/>
      <c r="R39" s="147"/>
      <c r="S39" s="146"/>
      <c r="T39" s="147"/>
      <c r="U39" s="146"/>
      <c r="V39" s="147"/>
      <c r="W39" s="55"/>
    </row>
    <row r="40" spans="1:24" ht="13.5" customHeight="1">
      <c r="A40" s="138">
        <v>2010</v>
      </c>
      <c r="B40" s="139" t="s">
        <v>29</v>
      </c>
      <c r="C40" s="89"/>
      <c r="D40" s="89"/>
      <c r="E40" s="89"/>
      <c r="F40" s="89"/>
      <c r="G40" s="89"/>
      <c r="H40" s="89"/>
      <c r="I40" s="89"/>
      <c r="J40" s="89"/>
      <c r="K40" s="140" t="str">
        <f>"000"</f>
        <v>000</v>
      </c>
      <c r="L40" s="166">
        <f>0+91.8</f>
        <v>91.8</v>
      </c>
      <c r="M40" s="166"/>
      <c r="N40" s="142"/>
      <c r="O40" s="165"/>
      <c r="P40" s="165"/>
      <c r="Q40" s="165"/>
      <c r="R40" s="166"/>
      <c r="S40" s="165"/>
      <c r="T40" s="166"/>
      <c r="U40" s="167"/>
      <c r="V40" s="166"/>
      <c r="W40" s="55"/>
      <c r="X40">
        <v>91.8</v>
      </c>
    </row>
    <row r="41" spans="1:24" ht="13.5" customHeight="1">
      <c r="A41" s="138">
        <v>2020</v>
      </c>
      <c r="B41" s="139" t="s">
        <v>51</v>
      </c>
      <c r="C41" s="89"/>
      <c r="D41" s="148"/>
      <c r="E41" s="89"/>
      <c r="F41" s="89"/>
      <c r="G41" s="89"/>
      <c r="H41" s="89"/>
      <c r="I41" s="89"/>
      <c r="J41" s="89"/>
      <c r="K41" s="140" t="s">
        <v>24</v>
      </c>
      <c r="L41" s="168">
        <f>0+80</f>
        <v>80</v>
      </c>
      <c r="M41" s="168"/>
      <c r="N41" s="142"/>
      <c r="O41" s="165"/>
      <c r="P41" s="165"/>
      <c r="Q41" s="165"/>
      <c r="R41" s="166"/>
      <c r="S41" s="165"/>
      <c r="T41" s="166"/>
      <c r="U41" s="167"/>
      <c r="V41" s="166"/>
      <c r="W41" s="55"/>
      <c r="X41">
        <v>80</v>
      </c>
    </row>
    <row r="42" spans="1:24" ht="13.5" customHeight="1">
      <c r="A42" s="138">
        <v>2030</v>
      </c>
      <c r="B42" s="139" t="s">
        <v>34</v>
      </c>
      <c r="C42" s="89"/>
      <c r="D42" s="89"/>
      <c r="E42" s="89"/>
      <c r="F42" s="89"/>
      <c r="G42" s="89"/>
      <c r="H42" s="89"/>
      <c r="I42" s="89"/>
      <c r="J42" s="89"/>
      <c r="K42" s="140" t="s">
        <v>24</v>
      </c>
      <c r="L42" s="166">
        <f>0+131</f>
        <v>131</v>
      </c>
      <c r="M42" s="166"/>
      <c r="N42" s="142"/>
      <c r="O42" s="165"/>
      <c r="P42" s="165"/>
      <c r="Q42" s="165"/>
      <c r="R42" s="166"/>
      <c r="S42" s="165"/>
      <c r="T42" s="166"/>
      <c r="U42" s="167"/>
      <c r="V42" s="166"/>
      <c r="W42" s="55"/>
      <c r="X42">
        <v>131</v>
      </c>
    </row>
    <row r="43" spans="1:24" ht="13.5" customHeight="1">
      <c r="A43" s="138">
        <v>2040</v>
      </c>
      <c r="B43" s="139" t="s">
        <v>71</v>
      </c>
      <c r="C43" s="89"/>
      <c r="D43" s="89"/>
      <c r="E43" s="89"/>
      <c r="F43" s="89"/>
      <c r="G43" s="89"/>
      <c r="H43" s="89"/>
      <c r="I43" s="89"/>
      <c r="J43" s="89"/>
      <c r="K43" s="140" t="s">
        <v>24</v>
      </c>
      <c r="L43" s="168">
        <f>0+11287</f>
        <v>11287</v>
      </c>
      <c r="M43" s="168"/>
      <c r="N43" s="143"/>
      <c r="O43" s="165"/>
      <c r="P43" s="165"/>
      <c r="Q43" s="165"/>
      <c r="R43" s="166"/>
      <c r="S43" s="165"/>
      <c r="T43" s="166"/>
      <c r="U43" s="167"/>
      <c r="V43" s="166"/>
      <c r="W43" s="55"/>
      <c r="X43">
        <v>11287</v>
      </c>
    </row>
    <row r="44" spans="1:24" ht="13.5" customHeight="1">
      <c r="A44" s="138">
        <v>2050</v>
      </c>
      <c r="B44" s="139" t="s">
        <v>58</v>
      </c>
      <c r="C44" s="89"/>
      <c r="D44" s="148"/>
      <c r="E44" s="89"/>
      <c r="F44" s="89"/>
      <c r="G44" s="89"/>
      <c r="H44" s="89"/>
      <c r="I44" s="89"/>
      <c r="J44" s="89"/>
      <c r="K44" s="140" t="s">
        <v>24</v>
      </c>
      <c r="L44" s="166">
        <f>0+0+0+0</f>
        <v>0</v>
      </c>
      <c r="M44" s="166"/>
      <c r="N44" s="142"/>
      <c r="O44" s="165"/>
      <c r="P44" s="165"/>
      <c r="Q44" s="165"/>
      <c r="R44" s="166"/>
      <c r="S44" s="165"/>
      <c r="T44" s="166"/>
      <c r="U44" s="167"/>
      <c r="V44" s="166"/>
      <c r="W44" s="55"/>
      <c r="X44">
        <v>0</v>
      </c>
    </row>
    <row r="45" spans="1:24" ht="13.5" customHeight="1">
      <c r="A45" s="138">
        <v>2060</v>
      </c>
      <c r="B45" s="139" t="s">
        <v>22</v>
      </c>
      <c r="C45" s="89"/>
      <c r="D45" s="89"/>
      <c r="E45" s="89"/>
      <c r="F45" s="89"/>
      <c r="G45" s="89"/>
      <c r="H45" s="89"/>
      <c r="I45" s="89"/>
      <c r="J45" s="89"/>
      <c r="K45" s="140" t="str">
        <f>"000"</f>
        <v>000</v>
      </c>
      <c r="L45" s="166">
        <f>0+12912</f>
        <v>12912</v>
      </c>
      <c r="M45" s="166"/>
      <c r="N45" s="142"/>
      <c r="O45" s="165"/>
      <c r="P45" s="165"/>
      <c r="Q45" s="165"/>
      <c r="R45" s="166"/>
      <c r="S45" s="165"/>
      <c r="T45" s="166"/>
      <c r="U45" s="167"/>
      <c r="V45" s="166"/>
      <c r="W45" s="55"/>
      <c r="X45">
        <v>12912</v>
      </c>
    </row>
    <row r="46" spans="1:24" ht="13.5" customHeight="1">
      <c r="A46" s="138">
        <v>2070</v>
      </c>
      <c r="B46" s="139" t="s">
        <v>53</v>
      </c>
      <c r="C46" s="89"/>
      <c r="D46" s="89"/>
      <c r="E46" s="89"/>
      <c r="F46" s="89"/>
      <c r="G46" s="89"/>
      <c r="H46" s="89"/>
      <c r="I46" s="89"/>
      <c r="J46" s="89"/>
      <c r="K46" s="140" t="str">
        <f>"000"</f>
        <v>000</v>
      </c>
      <c r="L46" s="166">
        <f>0+14905.9</f>
        <v>14905.9</v>
      </c>
      <c r="M46" s="166"/>
      <c r="N46" s="142"/>
      <c r="O46" s="165"/>
      <c r="P46" s="165"/>
      <c r="Q46" s="165"/>
      <c r="R46" s="166"/>
      <c r="S46" s="165"/>
      <c r="T46" s="166"/>
      <c r="U46" s="167"/>
      <c r="V46" s="166"/>
      <c r="W46" s="55"/>
      <c r="X46">
        <v>14905.9</v>
      </c>
    </row>
    <row r="47" spans="1:23" ht="13.5" customHeight="1">
      <c r="A47" s="138"/>
      <c r="B47" s="139" t="s">
        <v>13</v>
      </c>
      <c r="C47" s="89" t="s">
        <v>61</v>
      </c>
      <c r="D47" s="89"/>
      <c r="E47" s="89"/>
      <c r="F47" s="89"/>
      <c r="G47" s="89"/>
      <c r="H47" s="89"/>
      <c r="I47" s="89"/>
      <c r="J47" s="89"/>
      <c r="K47" s="140"/>
      <c r="L47" s="141"/>
      <c r="M47" s="142"/>
      <c r="N47" s="142"/>
      <c r="O47" s="165"/>
      <c r="P47" s="165"/>
      <c r="Q47" s="165"/>
      <c r="R47" s="166"/>
      <c r="S47" s="165"/>
      <c r="T47" s="166"/>
      <c r="U47" s="167"/>
      <c r="V47" s="166"/>
      <c r="W47" s="55"/>
    </row>
    <row r="48" spans="1:24" ht="13.5" customHeight="1">
      <c r="A48" s="138">
        <v>2091</v>
      </c>
      <c r="B48" s="139"/>
      <c r="C48" s="89" t="s">
        <v>54</v>
      </c>
      <c r="D48" s="89"/>
      <c r="E48" s="89"/>
      <c r="F48" s="89"/>
      <c r="G48" s="89"/>
      <c r="H48" s="89"/>
      <c r="I48" s="89"/>
      <c r="J48" s="89"/>
      <c r="K48" s="140" t="str">
        <f>"000"</f>
        <v>000</v>
      </c>
      <c r="L48" s="166">
        <f>0+1291.2</f>
        <v>1291.2</v>
      </c>
      <c r="M48" s="166"/>
      <c r="N48" s="142"/>
      <c r="O48" s="165"/>
      <c r="P48" s="165"/>
      <c r="Q48" s="165"/>
      <c r="R48" s="166"/>
      <c r="S48" s="165"/>
      <c r="T48" s="166"/>
      <c r="U48" s="167"/>
      <c r="V48" s="166"/>
      <c r="W48" s="55"/>
      <c r="X48">
        <v>1291.2</v>
      </c>
    </row>
    <row r="49" spans="1:24" ht="13.5" customHeight="1">
      <c r="A49" s="138">
        <v>2092</v>
      </c>
      <c r="B49" s="139"/>
      <c r="C49" s="89" t="s">
        <v>35</v>
      </c>
      <c r="D49" s="89"/>
      <c r="E49" s="89"/>
      <c r="F49" s="89"/>
      <c r="G49" s="89"/>
      <c r="H49" s="89"/>
      <c r="I49" s="89"/>
      <c r="J49" s="89"/>
      <c r="K49" s="140" t="str">
        <f>"000"</f>
        <v>000</v>
      </c>
      <c r="L49" s="166">
        <f>0+0+0+0</f>
        <v>0</v>
      </c>
      <c r="M49" s="166"/>
      <c r="N49" s="142"/>
      <c r="O49" s="165"/>
      <c r="P49" s="165"/>
      <c r="Q49" s="165"/>
      <c r="R49" s="166"/>
      <c r="S49" s="165"/>
      <c r="T49" s="166"/>
      <c r="U49" s="167"/>
      <c r="V49" s="166"/>
      <c r="W49" s="55"/>
      <c r="X49">
        <v>0</v>
      </c>
    </row>
    <row r="50" spans="1:24" ht="13.5" customHeight="1">
      <c r="A50" s="138">
        <v>2094</v>
      </c>
      <c r="B50" s="139"/>
      <c r="C50" s="89" t="s">
        <v>26</v>
      </c>
      <c r="D50" s="89"/>
      <c r="E50" s="89"/>
      <c r="F50" s="89"/>
      <c r="G50" s="89"/>
      <c r="H50" s="89"/>
      <c r="I50" s="89"/>
      <c r="J50" s="89"/>
      <c r="K50" s="140" t="str">
        <f>"000"</f>
        <v>000</v>
      </c>
      <c r="L50" s="166">
        <f>L48+L49</f>
        <v>1291.2</v>
      </c>
      <c r="M50" s="166"/>
      <c r="N50" s="142"/>
      <c r="O50" s="165"/>
      <c r="P50" s="165"/>
      <c r="Q50" s="165"/>
      <c r="R50" s="166"/>
      <c r="S50" s="165"/>
      <c r="T50" s="166"/>
      <c r="U50" s="167"/>
      <c r="V50" s="166"/>
      <c r="W50" s="55"/>
      <c r="X50">
        <v>1291.2</v>
      </c>
    </row>
    <row r="51" spans="1:24" ht="13.5" customHeight="1">
      <c r="A51" s="138">
        <v>2100</v>
      </c>
      <c r="B51" s="139" t="s">
        <v>31</v>
      </c>
      <c r="C51" s="89"/>
      <c r="D51" s="89"/>
      <c r="E51" s="89"/>
      <c r="F51" s="89"/>
      <c r="G51" s="89"/>
      <c r="H51" s="89"/>
      <c r="I51" s="89"/>
      <c r="J51" s="89"/>
      <c r="K51" s="140" t="str">
        <f>"000"</f>
        <v>000</v>
      </c>
      <c r="L51" s="166">
        <f>0+1555.6</f>
        <v>1555.6</v>
      </c>
      <c r="M51" s="166"/>
      <c r="N51" s="142"/>
      <c r="O51" s="165"/>
      <c r="P51" s="165"/>
      <c r="Q51" s="165"/>
      <c r="R51" s="166"/>
      <c r="S51" s="165"/>
      <c r="T51" s="166"/>
      <c r="U51" s="167"/>
      <c r="V51" s="166"/>
      <c r="W51" s="55"/>
      <c r="X51">
        <v>1555.6</v>
      </c>
    </row>
    <row r="52" spans="1:23" ht="10.5" customHeight="1">
      <c r="A52" s="138"/>
      <c r="B52" s="139"/>
      <c r="C52" s="89"/>
      <c r="D52" s="89"/>
      <c r="E52" s="89"/>
      <c r="F52" s="89"/>
      <c r="G52" s="89"/>
      <c r="H52" s="89"/>
      <c r="I52" s="89"/>
      <c r="J52" s="89"/>
      <c r="K52" s="140"/>
      <c r="L52" s="141"/>
      <c r="M52" s="142"/>
      <c r="N52" s="142"/>
      <c r="O52" s="165"/>
      <c r="P52" s="165"/>
      <c r="Q52" s="165"/>
      <c r="R52" s="166"/>
      <c r="S52" s="165"/>
      <c r="T52" s="166"/>
      <c r="U52" s="167"/>
      <c r="V52" s="166"/>
      <c r="W52" s="55"/>
    </row>
    <row r="53" spans="1:23" ht="13.5" customHeight="1">
      <c r="A53" s="138"/>
      <c r="B53" s="145" t="s">
        <v>66</v>
      </c>
      <c r="C53" s="89"/>
      <c r="D53" s="89"/>
      <c r="E53" s="89"/>
      <c r="F53" s="89"/>
      <c r="G53" s="89"/>
      <c r="H53" s="89"/>
      <c r="I53" s="89"/>
      <c r="J53" s="89"/>
      <c r="K53" s="140"/>
      <c r="L53" s="146"/>
      <c r="M53" s="147"/>
      <c r="N53" s="147"/>
      <c r="O53" s="146"/>
      <c r="P53" s="147"/>
      <c r="Q53" s="147"/>
      <c r="R53" s="147"/>
      <c r="S53" s="146"/>
      <c r="T53" s="147"/>
      <c r="U53" s="146"/>
      <c r="V53" s="147"/>
      <c r="W53" s="55"/>
    </row>
    <row r="54" spans="1:23" ht="13.5" customHeight="1">
      <c r="A54" s="138">
        <v>2330</v>
      </c>
      <c r="B54" s="139" t="s">
        <v>68</v>
      </c>
      <c r="C54" s="89"/>
      <c r="D54" s="89"/>
      <c r="E54" s="89"/>
      <c r="F54" s="89"/>
      <c r="G54" s="89"/>
      <c r="H54" s="89"/>
      <c r="I54" s="89"/>
      <c r="J54" s="89"/>
      <c r="K54" s="140" t="s">
        <v>24</v>
      </c>
      <c r="L54" s="166">
        <f>0+4.3</f>
        <v>4.3</v>
      </c>
      <c r="M54" s="166"/>
      <c r="N54" s="142"/>
      <c r="O54" s="165"/>
      <c r="P54" s="165"/>
      <c r="Q54" s="165"/>
      <c r="R54" s="166"/>
      <c r="S54" s="165"/>
      <c r="T54" s="166"/>
      <c r="U54" s="167"/>
      <c r="V54" s="166"/>
      <c r="W54" s="55"/>
    </row>
    <row r="55" spans="1:23" ht="10.5" customHeight="1">
      <c r="A55" s="149"/>
      <c r="B55" s="150"/>
      <c r="C55" s="151"/>
      <c r="D55" s="151"/>
      <c r="E55" s="151"/>
      <c r="F55" s="151"/>
      <c r="G55" s="151"/>
      <c r="H55" s="151"/>
      <c r="I55" s="151"/>
      <c r="J55" s="151"/>
      <c r="K55" s="70"/>
      <c r="L55" s="72"/>
      <c r="M55" s="2"/>
      <c r="N55" s="151"/>
      <c r="O55" s="150"/>
      <c r="P55" s="2"/>
      <c r="Q55" s="2"/>
      <c r="R55" s="2"/>
      <c r="S55" s="72"/>
      <c r="T55" s="2"/>
      <c r="U55" s="72"/>
      <c r="V55" s="2"/>
      <c r="W55" s="55"/>
    </row>
    <row r="56" spans="1:23" ht="24.75" customHeight="1" thickBot="1">
      <c r="A56" s="152" t="s">
        <v>50</v>
      </c>
      <c r="B56" s="153"/>
      <c r="C56" s="154"/>
      <c r="D56" s="154"/>
      <c r="E56" s="155"/>
      <c r="F56" s="155"/>
      <c r="G56" s="155"/>
      <c r="H56" s="155"/>
      <c r="I56" s="155"/>
      <c r="J56" s="155"/>
      <c r="K56" s="79"/>
      <c r="L56" s="79"/>
      <c r="M56" s="79"/>
      <c r="N56" s="155"/>
      <c r="O56" s="155"/>
      <c r="P56" s="71"/>
      <c r="Q56" s="71"/>
      <c r="R56" s="71"/>
      <c r="S56" s="71"/>
      <c r="T56" s="71"/>
      <c r="U56" s="71"/>
      <c r="V56" s="71"/>
      <c r="W56" s="55"/>
    </row>
    <row r="57" spans="1:15" ht="12.75" customHeight="1">
      <c r="A57" s="156"/>
      <c r="B57" s="157"/>
      <c r="C57" s="156"/>
      <c r="D57" s="157"/>
      <c r="E57" s="156"/>
      <c r="F57" s="156"/>
      <c r="G57" s="156"/>
      <c r="H57" s="156"/>
      <c r="I57" s="156"/>
      <c r="J57" s="156"/>
      <c r="K57" s="80"/>
      <c r="L57" s="81"/>
      <c r="M57" s="81"/>
      <c r="N57" s="156"/>
      <c r="O57" s="156"/>
    </row>
  </sheetData>
  <sheetProtection/>
  <mergeCells count="116">
    <mergeCell ref="L23:M23"/>
    <mergeCell ref="O23:R23"/>
    <mergeCell ref="S23:T23"/>
    <mergeCell ref="U23:V23"/>
    <mergeCell ref="L24:M24"/>
    <mergeCell ref="O24:R24"/>
    <mergeCell ref="S24:T24"/>
    <mergeCell ref="U24:V24"/>
    <mergeCell ref="L25:M25"/>
    <mergeCell ref="O25:R25"/>
    <mergeCell ref="S25:T25"/>
    <mergeCell ref="U25:V25"/>
    <mergeCell ref="L26:M26"/>
    <mergeCell ref="O26:R26"/>
    <mergeCell ref="S26:T26"/>
    <mergeCell ref="U26:V26"/>
    <mergeCell ref="L27:M27"/>
    <mergeCell ref="O27:R27"/>
    <mergeCell ref="S27:T27"/>
    <mergeCell ref="U27:V27"/>
    <mergeCell ref="L28:M28"/>
    <mergeCell ref="O28:R28"/>
    <mergeCell ref="S28:T28"/>
    <mergeCell ref="U28:V28"/>
    <mergeCell ref="L29:M29"/>
    <mergeCell ref="O29:R29"/>
    <mergeCell ref="S29:T29"/>
    <mergeCell ref="U29:V29"/>
    <mergeCell ref="L30:M30"/>
    <mergeCell ref="O30:R30"/>
    <mergeCell ref="S30:T30"/>
    <mergeCell ref="U30:V30"/>
    <mergeCell ref="O31:R31"/>
    <mergeCell ref="S31:T31"/>
    <mergeCell ref="U31:V31"/>
    <mergeCell ref="L32:M32"/>
    <mergeCell ref="O32:R32"/>
    <mergeCell ref="S32:T32"/>
    <mergeCell ref="U32:V32"/>
    <mergeCell ref="L33:M33"/>
    <mergeCell ref="O33:R33"/>
    <mergeCell ref="S33:T33"/>
    <mergeCell ref="U33:V33"/>
    <mergeCell ref="L34:M34"/>
    <mergeCell ref="O34:R34"/>
    <mergeCell ref="S34:T34"/>
    <mergeCell ref="U34:V34"/>
    <mergeCell ref="L35:M35"/>
    <mergeCell ref="O35:R35"/>
    <mergeCell ref="S35:T35"/>
    <mergeCell ref="U35:V35"/>
    <mergeCell ref="L36:M36"/>
    <mergeCell ref="O36:R36"/>
    <mergeCell ref="S36:T36"/>
    <mergeCell ref="U36:V36"/>
    <mergeCell ref="L37:M37"/>
    <mergeCell ref="O37:R37"/>
    <mergeCell ref="S37:T37"/>
    <mergeCell ref="U37:V37"/>
    <mergeCell ref="O38:R38"/>
    <mergeCell ref="S38:T38"/>
    <mergeCell ref="U38:V38"/>
    <mergeCell ref="L40:M40"/>
    <mergeCell ref="O40:R40"/>
    <mergeCell ref="S40:T40"/>
    <mergeCell ref="U40:V40"/>
    <mergeCell ref="L41:M41"/>
    <mergeCell ref="O41:R41"/>
    <mergeCell ref="S41:T41"/>
    <mergeCell ref="U41:V41"/>
    <mergeCell ref="L42:M42"/>
    <mergeCell ref="O42:R42"/>
    <mergeCell ref="S42:T42"/>
    <mergeCell ref="U42:V42"/>
    <mergeCell ref="L43:M43"/>
    <mergeCell ref="O43:R43"/>
    <mergeCell ref="S43:T43"/>
    <mergeCell ref="U43:V43"/>
    <mergeCell ref="L44:M44"/>
    <mergeCell ref="O44:R44"/>
    <mergeCell ref="S44:T44"/>
    <mergeCell ref="U44:V44"/>
    <mergeCell ref="L45:M45"/>
    <mergeCell ref="O45:R45"/>
    <mergeCell ref="S45:T45"/>
    <mergeCell ref="U45:V45"/>
    <mergeCell ref="L46:M46"/>
    <mergeCell ref="O46:R46"/>
    <mergeCell ref="S46:T46"/>
    <mergeCell ref="U46:V46"/>
    <mergeCell ref="O47:R47"/>
    <mergeCell ref="S47:T47"/>
    <mergeCell ref="U47:V47"/>
    <mergeCell ref="L48:M48"/>
    <mergeCell ref="O48:R48"/>
    <mergeCell ref="S48:T48"/>
    <mergeCell ref="U48:V48"/>
    <mergeCell ref="L49:M49"/>
    <mergeCell ref="O49:R49"/>
    <mergeCell ref="S49:T49"/>
    <mergeCell ref="U49:V49"/>
    <mergeCell ref="L50:M50"/>
    <mergeCell ref="O50:R50"/>
    <mergeCell ref="S50:T50"/>
    <mergeCell ref="U50:V50"/>
    <mergeCell ref="L51:M51"/>
    <mergeCell ref="O51:R51"/>
    <mergeCell ref="S51:T51"/>
    <mergeCell ref="U51:V51"/>
    <mergeCell ref="O52:R52"/>
    <mergeCell ref="S52:T52"/>
    <mergeCell ref="U52:V52"/>
    <mergeCell ref="L54:M54"/>
    <mergeCell ref="O54:R54"/>
    <mergeCell ref="S54:T54"/>
    <mergeCell ref="U54:V5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showZeros="0" zoomScalePageLayoutView="0" workbookViewId="0" topLeftCell="A22">
      <selection activeCell="AA56" sqref="AA56"/>
    </sheetView>
  </sheetViews>
  <sheetFormatPr defaultColWidth="9.140625" defaultRowHeight="12.75"/>
  <cols>
    <col min="1" max="1" width="12.8515625" style="0" customWidth="1"/>
    <col min="2" max="2" width="2.57421875" style="0" customWidth="1"/>
    <col min="3" max="3" width="2.7109375" style="0" customWidth="1"/>
    <col min="4" max="5" width="4.140625" style="0" customWidth="1"/>
    <col min="6" max="6" width="6.57421875" style="0" customWidth="1"/>
    <col min="7" max="7" width="7.140625" style="0" customWidth="1"/>
    <col min="8" max="8" width="6.8515625" style="0" customWidth="1"/>
    <col min="9" max="9" width="3.421875" style="0" customWidth="1"/>
    <col min="10" max="10" width="2.8515625" style="0" customWidth="1"/>
    <col min="11" max="11" width="8.421875" style="0" customWidth="1"/>
    <col min="12" max="12" width="7.28125" style="0" customWidth="1"/>
    <col min="13" max="13" width="4.7109375" style="0" customWidth="1"/>
    <col min="14" max="14" width="1.28515625" style="0" customWidth="1"/>
    <col min="15" max="18" width="3.28125" style="0" customWidth="1"/>
    <col min="19" max="22" width="6.57421875" style="0" customWidth="1"/>
    <col min="23" max="23" width="0.7187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48</v>
      </c>
    </row>
    <row r="2" spans="1:22" ht="14.25" customHeight="1">
      <c r="A2" s="5" t="s">
        <v>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>
      <c r="A3" s="5" t="s">
        <v>7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>
      <c r="A4" s="5" t="s">
        <v>45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7" t="s">
        <v>4</v>
      </c>
      <c r="B9" s="8" t="s">
        <v>43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9</v>
      </c>
      <c r="P9" s="9"/>
      <c r="Q9" s="9"/>
      <c r="R9" s="9"/>
      <c r="S9" s="9"/>
      <c r="T9" s="9"/>
      <c r="U9" s="1"/>
      <c r="V9" s="1"/>
    </row>
    <row r="10" spans="1:22" ht="14.25" customHeight="1">
      <c r="A10" s="7" t="s">
        <v>18</v>
      </c>
      <c r="B10" s="11" t="s">
        <v>52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67</v>
      </c>
      <c r="O10" s="11" t="s">
        <v>52</v>
      </c>
      <c r="P10" s="12"/>
      <c r="Q10" s="12"/>
      <c r="R10" s="12"/>
      <c r="S10" s="12"/>
      <c r="T10" s="12"/>
      <c r="U10" s="1"/>
      <c r="V10" s="1"/>
    </row>
    <row r="11" spans="1:22" ht="14.25" customHeight="1">
      <c r="A11" s="7" t="s">
        <v>12</v>
      </c>
      <c r="B11" s="12" t="s">
        <v>30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>
      <c r="A12" s="7" t="s">
        <v>46</v>
      </c>
      <c r="B12" s="12" t="s">
        <v>19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60</v>
      </c>
      <c r="O12" s="5" t="s">
        <v>84</v>
      </c>
      <c r="P12" s="9"/>
      <c r="Q12" s="9"/>
      <c r="R12" s="9"/>
      <c r="S12" s="9"/>
      <c r="T12" s="9"/>
      <c r="U12" s="1"/>
      <c r="V12" s="1"/>
    </row>
    <row r="13" spans="1:22" ht="14.25" customHeight="1">
      <c r="A13" s="7" t="s">
        <v>40</v>
      </c>
      <c r="B13" s="12" t="s">
        <v>65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21</v>
      </c>
      <c r="O13" s="11">
        <v>2017</v>
      </c>
      <c r="P13" s="12"/>
      <c r="Q13" s="12"/>
      <c r="R13" s="12"/>
      <c r="S13" s="12"/>
      <c r="T13" s="12"/>
      <c r="U13" s="1"/>
      <c r="V13" s="1"/>
    </row>
    <row r="14" spans="1:22" ht="18" customHeight="1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</v>
      </c>
      <c r="M16" s="21"/>
      <c r="N16" s="22"/>
      <c r="O16" s="22"/>
      <c r="P16" s="22"/>
      <c r="Q16" s="22"/>
      <c r="R16" s="22"/>
      <c r="S16" s="20" t="s">
        <v>63</v>
      </c>
      <c r="T16" s="22"/>
      <c r="U16" s="22"/>
      <c r="V16" s="23"/>
    </row>
    <row r="17" spans="1:22" ht="15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28</v>
      </c>
      <c r="M17" s="29"/>
      <c r="N17" s="29"/>
      <c r="O17" s="30"/>
      <c r="P17" s="30"/>
      <c r="Q17" s="29"/>
      <c r="R17" s="29"/>
      <c r="S17" s="28" t="s">
        <v>72</v>
      </c>
      <c r="T17" s="29"/>
      <c r="U17" s="29"/>
      <c r="V17" s="31"/>
    </row>
    <row r="18" spans="1:22" ht="12.75" customHeight="1">
      <c r="A18" s="24" t="s">
        <v>42</v>
      </c>
      <c r="B18" s="25" t="s">
        <v>36</v>
      </c>
      <c r="C18" s="26"/>
      <c r="D18" s="26"/>
      <c r="E18" s="26"/>
      <c r="F18" s="26"/>
      <c r="G18" s="26"/>
      <c r="H18" s="26"/>
      <c r="I18" s="26"/>
      <c r="J18" s="26"/>
      <c r="K18" s="27" t="s">
        <v>20</v>
      </c>
      <c r="L18" s="34" t="s">
        <v>32</v>
      </c>
      <c r="M18" s="35"/>
      <c r="N18" s="35"/>
      <c r="O18" s="36"/>
      <c r="P18" s="36"/>
      <c r="Q18" s="35"/>
      <c r="R18" s="35"/>
      <c r="S18" s="34" t="s">
        <v>38</v>
      </c>
      <c r="T18" s="35"/>
      <c r="U18" s="35"/>
      <c r="V18" s="37"/>
    </row>
    <row r="19" spans="1:22" ht="15" customHeight="1">
      <c r="A19" s="24" t="s">
        <v>3</v>
      </c>
      <c r="B19" s="32"/>
      <c r="C19" s="33"/>
      <c r="D19" s="33"/>
      <c r="E19" s="33"/>
      <c r="F19" s="33"/>
      <c r="G19" s="33"/>
      <c r="H19" s="33"/>
      <c r="I19" s="33"/>
      <c r="J19" s="33"/>
      <c r="K19" s="27"/>
      <c r="L19" s="38" t="s">
        <v>10</v>
      </c>
      <c r="M19" s="39"/>
      <c r="N19" s="39"/>
      <c r="O19" s="40"/>
      <c r="P19" s="39"/>
      <c r="Q19" s="39"/>
      <c r="R19" s="39"/>
      <c r="S19" s="38" t="s">
        <v>10</v>
      </c>
      <c r="T19" s="39"/>
      <c r="U19" s="39"/>
      <c r="V19" s="41"/>
    </row>
    <row r="20" spans="1:22" ht="15" customHeight="1">
      <c r="A20" s="42"/>
      <c r="B20" s="32"/>
      <c r="C20" s="33"/>
      <c r="D20" s="33"/>
      <c r="E20" s="33"/>
      <c r="F20" s="33"/>
      <c r="G20" s="33"/>
      <c r="H20" s="33"/>
      <c r="I20" s="33"/>
      <c r="J20" s="33"/>
      <c r="K20" s="43"/>
      <c r="L20" s="38" t="s">
        <v>11</v>
      </c>
      <c r="M20" s="38"/>
      <c r="N20" s="38"/>
      <c r="O20" s="38" t="s">
        <v>69</v>
      </c>
      <c r="P20" s="38"/>
      <c r="Q20" s="38"/>
      <c r="R20" s="38"/>
      <c r="S20" s="38" t="s">
        <v>11</v>
      </c>
      <c r="T20" s="40"/>
      <c r="U20" s="38" t="s">
        <v>69</v>
      </c>
      <c r="V20" s="44"/>
    </row>
    <row r="21" spans="1:22" ht="12" customHeight="1">
      <c r="A21" s="45"/>
      <c r="B21" s="38" t="s">
        <v>57</v>
      </c>
      <c r="C21" s="48"/>
      <c r="D21" s="48"/>
      <c r="E21" s="48"/>
      <c r="F21" s="48"/>
      <c r="G21" s="48"/>
      <c r="H21" s="48"/>
      <c r="I21" s="48"/>
      <c r="J21" s="48"/>
      <c r="K21" s="50" t="s">
        <v>39</v>
      </c>
      <c r="L21" s="38" t="s">
        <v>23</v>
      </c>
      <c r="M21" s="48"/>
      <c r="N21" s="48"/>
      <c r="O21" s="38" t="s">
        <v>1</v>
      </c>
      <c r="P21" s="48"/>
      <c r="Q21" s="48"/>
      <c r="R21" s="48"/>
      <c r="S21" s="38" t="s">
        <v>55</v>
      </c>
      <c r="T21" s="48"/>
      <c r="U21" s="38" t="s">
        <v>37</v>
      </c>
      <c r="V21" s="41"/>
    </row>
    <row r="22" spans="1:23" ht="21.75" customHeight="1">
      <c r="A22" s="46"/>
      <c r="B22" s="47" t="s">
        <v>70</v>
      </c>
      <c r="C22" s="49"/>
      <c r="D22" s="49"/>
      <c r="E22" s="14"/>
      <c r="F22" s="14"/>
      <c r="G22" s="14"/>
      <c r="H22" s="14"/>
      <c r="I22" s="14"/>
      <c r="J22" s="49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4" ht="14.25" customHeight="1">
      <c r="A23" s="56">
        <v>1010</v>
      </c>
      <c r="B23" s="57" t="s">
        <v>49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159">
        <f>516.4+1119</f>
        <v>1635.4</v>
      </c>
      <c r="M23" s="159"/>
      <c r="N23" s="60"/>
      <c r="O23" s="158"/>
      <c r="P23" s="158"/>
      <c r="Q23" s="158"/>
      <c r="R23" s="159"/>
      <c r="S23" s="158"/>
      <c r="T23" s="159"/>
      <c r="U23" s="160"/>
      <c r="V23" s="159"/>
      <c r="W23" s="55"/>
      <c r="X23">
        <v>1635.4</v>
      </c>
    </row>
    <row r="24" spans="1:24" ht="13.5" customHeight="1">
      <c r="A24" s="56">
        <v>1020</v>
      </c>
      <c r="B24" s="57" t="s">
        <v>59</v>
      </c>
      <c r="C24" s="1"/>
      <c r="D24" s="1"/>
      <c r="E24" s="1"/>
      <c r="F24" s="1"/>
      <c r="G24" s="1"/>
      <c r="H24" s="1"/>
      <c r="I24" s="1"/>
      <c r="J24" s="1"/>
      <c r="K24" s="58" t="s">
        <v>24</v>
      </c>
      <c r="L24" s="161">
        <f>398+676</f>
        <v>1074</v>
      </c>
      <c r="M24" s="161"/>
      <c r="N24" s="61"/>
      <c r="O24" s="163"/>
      <c r="P24" s="163"/>
      <c r="Q24" s="163"/>
      <c r="R24" s="161"/>
      <c r="S24" s="163"/>
      <c r="T24" s="161"/>
      <c r="U24" s="164"/>
      <c r="V24" s="161"/>
      <c r="W24" s="55"/>
      <c r="X24">
        <v>1074</v>
      </c>
    </row>
    <row r="25" spans="1:24" ht="13.5" customHeight="1">
      <c r="A25" s="56">
        <v>1030</v>
      </c>
      <c r="B25" s="57" t="s">
        <v>16</v>
      </c>
      <c r="C25" s="1"/>
      <c r="D25" s="1"/>
      <c r="E25" s="1"/>
      <c r="F25" s="1"/>
      <c r="G25" s="1"/>
      <c r="H25" s="1"/>
      <c r="I25" s="1"/>
      <c r="J25" s="1"/>
      <c r="K25" s="58" t="s">
        <v>24</v>
      </c>
      <c r="L25" s="159">
        <f>725+1500.1</f>
        <v>2225.1</v>
      </c>
      <c r="M25" s="159"/>
      <c r="N25" s="60"/>
      <c r="O25" s="158"/>
      <c r="P25" s="158"/>
      <c r="Q25" s="158"/>
      <c r="R25" s="159"/>
      <c r="S25" s="158"/>
      <c r="T25" s="159"/>
      <c r="U25" s="160"/>
      <c r="V25" s="159"/>
      <c r="W25" s="55"/>
      <c r="X25">
        <v>2225.1</v>
      </c>
    </row>
    <row r="26" spans="1:24" ht="13.5" customHeight="1">
      <c r="A26" s="56">
        <v>1040</v>
      </c>
      <c r="B26" s="57" t="s">
        <v>27</v>
      </c>
      <c r="C26" s="1"/>
      <c r="D26" s="1"/>
      <c r="E26" s="1"/>
      <c r="F26" s="1"/>
      <c r="G26" s="1"/>
      <c r="H26" s="1"/>
      <c r="I26" s="1"/>
      <c r="J26" s="1"/>
      <c r="K26" s="58" t="s">
        <v>24</v>
      </c>
      <c r="L26" s="161">
        <f>55720+67299</f>
        <v>123019</v>
      </c>
      <c r="M26" s="161"/>
      <c r="N26" s="61"/>
      <c r="O26" s="158"/>
      <c r="P26" s="158"/>
      <c r="Q26" s="158"/>
      <c r="R26" s="159"/>
      <c r="S26" s="158"/>
      <c r="T26" s="159"/>
      <c r="U26" s="160"/>
      <c r="V26" s="159"/>
      <c r="W26" s="55"/>
      <c r="X26">
        <v>123019</v>
      </c>
    </row>
    <row r="27" spans="1:24" ht="13.5" customHeight="1">
      <c r="A27" s="56">
        <v>1050</v>
      </c>
      <c r="B27" s="57" t="s">
        <v>8</v>
      </c>
      <c r="C27" s="1"/>
      <c r="D27" s="1"/>
      <c r="E27" s="1"/>
      <c r="F27" s="1"/>
      <c r="G27" s="1"/>
      <c r="H27" s="1"/>
      <c r="I27" s="1"/>
      <c r="J27" s="1"/>
      <c r="K27" s="58" t="s">
        <v>24</v>
      </c>
      <c r="L27" s="159">
        <f>14.971+19.759+1.5+4.5</f>
        <v>40.730000000000004</v>
      </c>
      <c r="M27" s="159"/>
      <c r="N27" s="60"/>
      <c r="O27" s="158"/>
      <c r="P27" s="158"/>
      <c r="Q27" s="158"/>
      <c r="R27" s="159"/>
      <c r="S27" s="158"/>
      <c r="T27" s="159"/>
      <c r="U27" s="160"/>
      <c r="V27" s="159"/>
      <c r="W27" s="55"/>
      <c r="X27">
        <v>40.730000000000004</v>
      </c>
    </row>
    <row r="28" spans="1:24" ht="13.5" customHeight="1">
      <c r="A28" s="56">
        <v>1060</v>
      </c>
      <c r="B28" s="57" t="s">
        <v>64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159">
        <f>69571.4+115251.3</f>
        <v>184822.7</v>
      </c>
      <c r="M28" s="159"/>
      <c r="N28" s="60"/>
      <c r="O28" s="158"/>
      <c r="P28" s="158"/>
      <c r="Q28" s="158"/>
      <c r="R28" s="159"/>
      <c r="S28" s="158"/>
      <c r="T28" s="159"/>
      <c r="U28" s="160"/>
      <c r="V28" s="159"/>
      <c r="W28" s="55"/>
      <c r="X28">
        <v>184822.7</v>
      </c>
    </row>
    <row r="29" spans="1:24" ht="13.5" customHeight="1">
      <c r="A29" s="56">
        <v>1070</v>
      </c>
      <c r="B29" s="57" t="s">
        <v>41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159">
        <f>78180.1+146457.5</f>
        <v>224637.6</v>
      </c>
      <c r="M29" s="159"/>
      <c r="N29" s="60"/>
      <c r="O29" s="158"/>
      <c r="P29" s="158"/>
      <c r="Q29" s="158"/>
      <c r="R29" s="159"/>
      <c r="S29" s="158"/>
      <c r="T29" s="159"/>
      <c r="U29" s="160"/>
      <c r="V29" s="159"/>
      <c r="W29" s="55"/>
      <c r="X29">
        <v>224637.6</v>
      </c>
    </row>
    <row r="30" spans="1:23" ht="13.5" customHeight="1">
      <c r="A30" s="56">
        <v>1080</v>
      </c>
      <c r="B30" s="57" t="s">
        <v>14</v>
      </c>
      <c r="C30" s="1"/>
      <c r="D30" s="1"/>
      <c r="E30" s="1"/>
      <c r="F30" s="1"/>
      <c r="G30" s="1"/>
      <c r="H30" s="1"/>
      <c r="I30" s="1"/>
      <c r="J30" s="1"/>
      <c r="K30" s="58" t="s">
        <v>56</v>
      </c>
      <c r="L30" s="162">
        <f>L28/L29</f>
        <v>0.8227594133840461</v>
      </c>
      <c r="M30" s="162"/>
      <c r="N30" s="62"/>
      <c r="O30" s="158"/>
      <c r="P30" s="158"/>
      <c r="Q30" s="158"/>
      <c r="R30" s="159"/>
      <c r="S30" s="158"/>
      <c r="T30" s="159"/>
      <c r="U30" s="160"/>
      <c r="V30" s="159"/>
      <c r="W30" s="55"/>
    </row>
    <row r="31" spans="1:23" ht="13.5" customHeight="1">
      <c r="A31" s="56"/>
      <c r="B31" s="57" t="s">
        <v>33</v>
      </c>
      <c r="C31" s="1"/>
      <c r="D31" s="1"/>
      <c r="E31" s="1"/>
      <c r="F31" s="1"/>
      <c r="G31" s="1"/>
      <c r="H31" s="1"/>
      <c r="I31" s="1"/>
      <c r="J31" s="1"/>
      <c r="K31" s="58"/>
      <c r="L31" s="59"/>
      <c r="M31" s="60"/>
      <c r="N31" s="60"/>
      <c r="O31" s="158"/>
      <c r="P31" s="158"/>
      <c r="Q31" s="158"/>
      <c r="R31" s="159"/>
      <c r="S31" s="158"/>
      <c r="T31" s="159"/>
      <c r="U31" s="160"/>
      <c r="V31" s="159"/>
      <c r="W31" s="55"/>
    </row>
    <row r="32" spans="1:24" ht="13.5" customHeight="1">
      <c r="A32" s="56">
        <v>1091</v>
      </c>
      <c r="B32" s="57"/>
      <c r="C32" s="1" t="s">
        <v>54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159">
        <f>6770.9+11523.9</f>
        <v>18294.8</v>
      </c>
      <c r="M32" s="159"/>
      <c r="N32" s="60"/>
      <c r="O32" s="158"/>
      <c r="P32" s="158"/>
      <c r="Q32" s="158"/>
      <c r="R32" s="159"/>
      <c r="S32" s="158"/>
      <c r="T32" s="159"/>
      <c r="U32" s="160"/>
      <c r="V32" s="159"/>
      <c r="W32" s="55"/>
      <c r="X32">
        <v>18294.8</v>
      </c>
    </row>
    <row r="33" spans="1:24" ht="13.5" customHeight="1">
      <c r="A33" s="56">
        <v>1092</v>
      </c>
      <c r="B33" s="57"/>
      <c r="C33" s="1" t="s">
        <v>47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159">
        <f>17.7+35.8</f>
        <v>53.5</v>
      </c>
      <c r="M33" s="159"/>
      <c r="N33" s="60"/>
      <c r="O33" s="158"/>
      <c r="P33" s="158"/>
      <c r="Q33" s="158"/>
      <c r="R33" s="159"/>
      <c r="S33" s="158"/>
      <c r="T33" s="159"/>
      <c r="U33" s="160"/>
      <c r="V33" s="159"/>
      <c r="W33" s="55"/>
      <c r="X33">
        <v>53.5</v>
      </c>
    </row>
    <row r="34" spans="1:24" ht="13.5" customHeight="1">
      <c r="A34" s="56">
        <v>1093</v>
      </c>
      <c r="B34" s="57"/>
      <c r="C34" s="1" t="s">
        <v>25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159">
        <f>1.8+5.9</f>
        <v>7.7</v>
      </c>
      <c r="M34" s="159"/>
      <c r="N34" s="60"/>
      <c r="O34" s="158"/>
      <c r="P34" s="158"/>
      <c r="Q34" s="158"/>
      <c r="R34" s="159"/>
      <c r="S34" s="158"/>
      <c r="T34" s="159"/>
      <c r="U34" s="160"/>
      <c r="V34" s="159"/>
      <c r="W34" s="55"/>
      <c r="X34">
        <v>7.7</v>
      </c>
    </row>
    <row r="35" spans="1:24" ht="13.5" customHeight="1">
      <c r="A35" s="56">
        <v>1094</v>
      </c>
      <c r="B35" s="57"/>
      <c r="C35" s="1" t="s">
        <v>0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159">
        <f>L32+L33+L34</f>
        <v>18356</v>
      </c>
      <c r="M35" s="159"/>
      <c r="N35" s="60"/>
      <c r="O35" s="158"/>
      <c r="P35" s="158"/>
      <c r="Q35" s="158"/>
      <c r="R35" s="159"/>
      <c r="S35" s="158"/>
      <c r="T35" s="159"/>
      <c r="U35" s="160"/>
      <c r="V35" s="159"/>
      <c r="W35" s="55"/>
      <c r="X35">
        <v>18356</v>
      </c>
    </row>
    <row r="36" spans="1:24" ht="13.5" customHeight="1">
      <c r="A36" s="56">
        <v>1100</v>
      </c>
      <c r="B36" s="57" t="s">
        <v>44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159">
        <f>8247.7+16577.9</f>
        <v>24825.600000000002</v>
      </c>
      <c r="M36" s="159"/>
      <c r="N36" s="60"/>
      <c r="O36" s="158"/>
      <c r="P36" s="158"/>
      <c r="Q36" s="158"/>
      <c r="R36" s="159"/>
      <c r="S36" s="158"/>
      <c r="T36" s="159"/>
      <c r="U36" s="160"/>
      <c r="V36" s="159"/>
      <c r="W36" s="55"/>
      <c r="X36">
        <v>24825.600000000002</v>
      </c>
    </row>
    <row r="37" spans="1:23" ht="13.5" customHeight="1">
      <c r="A37" s="56">
        <v>1110</v>
      </c>
      <c r="B37" s="57" t="s">
        <v>15</v>
      </c>
      <c r="C37" s="1"/>
      <c r="D37" s="1"/>
      <c r="E37" s="1"/>
      <c r="F37" s="1"/>
      <c r="G37" s="1"/>
      <c r="H37" s="1"/>
      <c r="I37" s="1"/>
      <c r="J37" s="1"/>
      <c r="K37" s="58" t="s">
        <v>56</v>
      </c>
      <c r="L37" s="162">
        <f>L35/L36</f>
        <v>0.7393980407321474</v>
      </c>
      <c r="M37" s="162"/>
      <c r="N37" s="62"/>
      <c r="O37" s="158"/>
      <c r="P37" s="158"/>
      <c r="Q37" s="158"/>
      <c r="R37" s="159"/>
      <c r="S37" s="158"/>
      <c r="T37" s="159"/>
      <c r="U37" s="160"/>
      <c r="V37" s="159"/>
      <c r="W37" s="55"/>
    </row>
    <row r="38" spans="1:23" ht="11.25" customHeight="1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59"/>
      <c r="M38" s="60"/>
      <c r="N38" s="60"/>
      <c r="O38" s="158"/>
      <c r="P38" s="158"/>
      <c r="Q38" s="158"/>
      <c r="R38" s="159"/>
      <c r="S38" s="158"/>
      <c r="T38" s="159"/>
      <c r="U38" s="160"/>
      <c r="V38" s="159"/>
      <c r="W38" s="55"/>
    </row>
    <row r="39" spans="1:23" ht="13.5" customHeight="1">
      <c r="A39" s="56"/>
      <c r="B39" s="63" t="s">
        <v>62</v>
      </c>
      <c r="C39" s="1"/>
      <c r="D39" s="1"/>
      <c r="E39" s="1"/>
      <c r="F39" s="1"/>
      <c r="G39" s="1"/>
      <c r="H39" s="1"/>
      <c r="I39" s="1"/>
      <c r="J39" s="1"/>
      <c r="K39" s="58"/>
      <c r="L39" s="64"/>
      <c r="M39" s="65"/>
      <c r="N39" s="65"/>
      <c r="O39" s="64"/>
      <c r="P39" s="65"/>
      <c r="Q39" s="65"/>
      <c r="R39" s="65"/>
      <c r="S39" s="64"/>
      <c r="T39" s="65"/>
      <c r="U39" s="64"/>
      <c r="V39" s="65"/>
      <c r="W39" s="55"/>
    </row>
    <row r="40" spans="1:24" ht="13.5" customHeight="1">
      <c r="A40" s="56">
        <v>2010</v>
      </c>
      <c r="B40" s="57" t="s">
        <v>29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159">
        <f>0+94.8</f>
        <v>94.8</v>
      </c>
      <c r="M40" s="159"/>
      <c r="N40" s="60"/>
      <c r="O40" s="158"/>
      <c r="P40" s="158"/>
      <c r="Q40" s="158"/>
      <c r="R40" s="159"/>
      <c r="S40" s="158"/>
      <c r="T40" s="159"/>
      <c r="U40" s="160"/>
      <c r="V40" s="159"/>
      <c r="W40" s="55"/>
      <c r="X40">
        <v>94.8</v>
      </c>
    </row>
    <row r="41" spans="1:24" ht="13.5" customHeight="1">
      <c r="A41" s="56">
        <v>2020</v>
      </c>
      <c r="B41" s="57" t="s">
        <v>51</v>
      </c>
      <c r="C41" s="1"/>
      <c r="D41" s="66"/>
      <c r="E41" s="1"/>
      <c r="F41" s="1"/>
      <c r="G41" s="1"/>
      <c r="H41" s="1"/>
      <c r="I41" s="1"/>
      <c r="J41" s="1"/>
      <c r="K41" s="58" t="s">
        <v>24</v>
      </c>
      <c r="L41" s="161">
        <f>0+82</f>
        <v>82</v>
      </c>
      <c r="M41" s="161"/>
      <c r="N41" s="60"/>
      <c r="O41" s="158"/>
      <c r="P41" s="158"/>
      <c r="Q41" s="158"/>
      <c r="R41" s="159"/>
      <c r="S41" s="158"/>
      <c r="T41" s="159"/>
      <c r="U41" s="160"/>
      <c r="V41" s="159"/>
      <c r="W41" s="55"/>
      <c r="X41">
        <v>82</v>
      </c>
    </row>
    <row r="42" spans="1:24" ht="13.5" customHeight="1">
      <c r="A42" s="56">
        <v>2030</v>
      </c>
      <c r="B42" s="57" t="s">
        <v>34</v>
      </c>
      <c r="C42" s="1"/>
      <c r="D42" s="1"/>
      <c r="E42" s="1"/>
      <c r="F42" s="1"/>
      <c r="G42" s="1"/>
      <c r="H42" s="1"/>
      <c r="I42" s="1"/>
      <c r="J42" s="1"/>
      <c r="K42" s="58" t="s">
        <v>24</v>
      </c>
      <c r="L42" s="159">
        <f>0+134</f>
        <v>134</v>
      </c>
      <c r="M42" s="159"/>
      <c r="N42" s="60"/>
      <c r="O42" s="158"/>
      <c r="P42" s="158"/>
      <c r="Q42" s="158"/>
      <c r="R42" s="159"/>
      <c r="S42" s="158"/>
      <c r="T42" s="159"/>
      <c r="U42" s="160"/>
      <c r="V42" s="159"/>
      <c r="W42" s="55"/>
      <c r="X42">
        <v>134</v>
      </c>
    </row>
    <row r="43" spans="1:24" ht="13.5" customHeight="1">
      <c r="A43" s="56">
        <v>2040</v>
      </c>
      <c r="B43" s="57" t="s">
        <v>71</v>
      </c>
      <c r="C43" s="1"/>
      <c r="D43" s="1"/>
      <c r="E43" s="1"/>
      <c r="F43" s="1"/>
      <c r="G43" s="1"/>
      <c r="H43" s="1"/>
      <c r="I43" s="1"/>
      <c r="J43" s="1"/>
      <c r="K43" s="58" t="s">
        <v>24</v>
      </c>
      <c r="L43" s="161">
        <f>0+12527</f>
        <v>12527</v>
      </c>
      <c r="M43" s="161"/>
      <c r="N43" s="61"/>
      <c r="O43" s="158"/>
      <c r="P43" s="158"/>
      <c r="Q43" s="158"/>
      <c r="R43" s="159"/>
      <c r="S43" s="158"/>
      <c r="T43" s="159"/>
      <c r="U43" s="160"/>
      <c r="V43" s="159"/>
      <c r="W43" s="55"/>
      <c r="X43">
        <v>12527</v>
      </c>
    </row>
    <row r="44" spans="1:24" ht="13.5" customHeight="1">
      <c r="A44" s="56">
        <v>2050</v>
      </c>
      <c r="B44" s="57" t="s">
        <v>58</v>
      </c>
      <c r="C44" s="1"/>
      <c r="D44" s="66"/>
      <c r="E44" s="1"/>
      <c r="F44" s="1"/>
      <c r="G44" s="1"/>
      <c r="H44" s="1"/>
      <c r="I44" s="1"/>
      <c r="J44" s="1"/>
      <c r="K44" s="58" t="s">
        <v>24</v>
      </c>
      <c r="L44" s="159">
        <f>0+0+0+0</f>
        <v>0</v>
      </c>
      <c r="M44" s="159"/>
      <c r="N44" s="60"/>
      <c r="O44" s="158"/>
      <c r="P44" s="158"/>
      <c r="Q44" s="158"/>
      <c r="R44" s="159"/>
      <c r="S44" s="158"/>
      <c r="T44" s="159"/>
      <c r="U44" s="160"/>
      <c r="V44" s="159"/>
      <c r="W44" s="55"/>
      <c r="X44">
        <v>0</v>
      </c>
    </row>
    <row r="45" spans="1:24" ht="13.5" customHeight="1">
      <c r="A45" s="56">
        <v>2060</v>
      </c>
      <c r="B45" s="57" t="s">
        <v>22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159">
        <f>0+14394.7</f>
        <v>14394.7</v>
      </c>
      <c r="M45" s="159"/>
      <c r="N45" s="60"/>
      <c r="O45" s="158"/>
      <c r="P45" s="158"/>
      <c r="Q45" s="158"/>
      <c r="R45" s="159"/>
      <c r="S45" s="158"/>
      <c r="T45" s="159"/>
      <c r="U45" s="160"/>
      <c r="V45" s="159"/>
      <c r="W45" s="55"/>
      <c r="X45">
        <v>14394.7</v>
      </c>
    </row>
    <row r="46" spans="1:24" ht="13.5" customHeight="1">
      <c r="A46" s="56">
        <v>2070</v>
      </c>
      <c r="B46" s="57" t="s">
        <v>53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159">
        <f>0+16222.4</f>
        <v>16222.4</v>
      </c>
      <c r="M46" s="159"/>
      <c r="N46" s="60"/>
      <c r="O46" s="158"/>
      <c r="P46" s="158"/>
      <c r="Q46" s="158"/>
      <c r="R46" s="159"/>
      <c r="S46" s="158"/>
      <c r="T46" s="159"/>
      <c r="U46" s="160"/>
      <c r="V46" s="159"/>
      <c r="W46" s="55"/>
      <c r="X46">
        <v>16222.4</v>
      </c>
    </row>
    <row r="47" spans="1:23" ht="13.5" customHeight="1">
      <c r="A47" s="56"/>
      <c r="B47" s="57" t="s">
        <v>13</v>
      </c>
      <c r="C47" s="1" t="s">
        <v>61</v>
      </c>
      <c r="D47" s="1"/>
      <c r="E47" s="1"/>
      <c r="F47" s="1"/>
      <c r="G47" s="1"/>
      <c r="H47" s="1"/>
      <c r="I47" s="1"/>
      <c r="J47" s="1"/>
      <c r="K47" s="58"/>
      <c r="L47" s="59"/>
      <c r="M47" s="60"/>
      <c r="N47" s="60"/>
      <c r="O47" s="158"/>
      <c r="P47" s="158"/>
      <c r="Q47" s="158"/>
      <c r="R47" s="159"/>
      <c r="S47" s="158"/>
      <c r="T47" s="159"/>
      <c r="U47" s="160"/>
      <c r="V47" s="159"/>
      <c r="W47" s="55"/>
    </row>
    <row r="48" spans="1:24" ht="13.5" customHeight="1">
      <c r="A48" s="56">
        <v>2091</v>
      </c>
      <c r="B48" s="57"/>
      <c r="C48" s="1" t="s">
        <v>54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159">
        <f>0+1434.4</f>
        <v>1434.4</v>
      </c>
      <c r="M48" s="159"/>
      <c r="N48" s="60"/>
      <c r="O48" s="158"/>
      <c r="P48" s="158"/>
      <c r="Q48" s="158"/>
      <c r="R48" s="159"/>
      <c r="S48" s="158"/>
      <c r="T48" s="159"/>
      <c r="U48" s="160"/>
      <c r="V48" s="159"/>
      <c r="W48" s="55"/>
      <c r="X48">
        <v>1434.4</v>
      </c>
    </row>
    <row r="49" spans="1:24" ht="13.5" customHeight="1">
      <c r="A49" s="56">
        <v>2092</v>
      </c>
      <c r="B49" s="57"/>
      <c r="C49" s="1" t="s">
        <v>35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159">
        <f>0+0+0+0</f>
        <v>0</v>
      </c>
      <c r="M49" s="159"/>
      <c r="N49" s="60"/>
      <c r="O49" s="158"/>
      <c r="P49" s="158"/>
      <c r="Q49" s="158"/>
      <c r="R49" s="159"/>
      <c r="S49" s="158"/>
      <c r="T49" s="159"/>
      <c r="U49" s="160"/>
      <c r="V49" s="159"/>
      <c r="W49" s="55"/>
      <c r="X49">
        <v>0</v>
      </c>
    </row>
    <row r="50" spans="1:24" ht="13.5" customHeight="1">
      <c r="A50" s="56">
        <v>2094</v>
      </c>
      <c r="B50" s="57"/>
      <c r="C50" s="1" t="s">
        <v>26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159">
        <f>L48+L49</f>
        <v>1434.4</v>
      </c>
      <c r="M50" s="159"/>
      <c r="N50" s="60"/>
      <c r="O50" s="158"/>
      <c r="P50" s="158"/>
      <c r="Q50" s="158"/>
      <c r="R50" s="159"/>
      <c r="S50" s="158"/>
      <c r="T50" s="159"/>
      <c r="U50" s="160"/>
      <c r="V50" s="159"/>
      <c r="W50" s="55"/>
      <c r="X50">
        <v>1434.4</v>
      </c>
    </row>
    <row r="51" spans="1:24" ht="13.5" customHeight="1">
      <c r="A51" s="56">
        <v>2100</v>
      </c>
      <c r="B51" s="57" t="s">
        <v>31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159">
        <f>0+1630.5</f>
        <v>1630.5</v>
      </c>
      <c r="M51" s="159"/>
      <c r="N51" s="60"/>
      <c r="O51" s="158"/>
      <c r="P51" s="158"/>
      <c r="Q51" s="158"/>
      <c r="R51" s="159"/>
      <c r="S51" s="158"/>
      <c r="T51" s="159"/>
      <c r="U51" s="160"/>
      <c r="V51" s="159"/>
      <c r="W51" s="55"/>
      <c r="X51">
        <v>1630.5</v>
      </c>
    </row>
    <row r="52" spans="1:23" ht="10.5" customHeight="1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59"/>
      <c r="M52" s="60"/>
      <c r="N52" s="60"/>
      <c r="O52" s="158"/>
      <c r="P52" s="158"/>
      <c r="Q52" s="158"/>
      <c r="R52" s="159"/>
      <c r="S52" s="158"/>
      <c r="T52" s="159"/>
      <c r="U52" s="160"/>
      <c r="V52" s="159"/>
      <c r="W52" s="55"/>
    </row>
    <row r="53" spans="1:23" ht="13.5" customHeight="1">
      <c r="A53" s="56"/>
      <c r="B53" s="63" t="s">
        <v>66</v>
      </c>
      <c r="C53" s="1"/>
      <c r="D53" s="1"/>
      <c r="E53" s="1"/>
      <c r="F53" s="1"/>
      <c r="G53" s="1"/>
      <c r="H53" s="1"/>
      <c r="I53" s="1"/>
      <c r="J53" s="1"/>
      <c r="K53" s="58"/>
      <c r="L53" s="64"/>
      <c r="M53" s="65"/>
      <c r="N53" s="65"/>
      <c r="O53" s="64"/>
      <c r="P53" s="65"/>
      <c r="Q53" s="65"/>
      <c r="R53" s="65"/>
      <c r="S53" s="64"/>
      <c r="T53" s="65"/>
      <c r="U53" s="64"/>
      <c r="V53" s="65"/>
      <c r="W53" s="55"/>
    </row>
    <row r="54" spans="1:23" ht="13.5" customHeight="1">
      <c r="A54" s="56">
        <v>2330</v>
      </c>
      <c r="B54" s="57" t="s">
        <v>68</v>
      </c>
      <c r="C54" s="1"/>
      <c r="D54" s="1"/>
      <c r="E54" s="1"/>
      <c r="F54" s="1"/>
      <c r="G54" s="1"/>
      <c r="H54" s="1"/>
      <c r="I54" s="1"/>
      <c r="J54" s="1"/>
      <c r="K54" s="58" t="s">
        <v>24</v>
      </c>
      <c r="L54" s="159">
        <f>0+9.5</f>
        <v>9.5</v>
      </c>
      <c r="M54" s="159"/>
      <c r="N54" s="60"/>
      <c r="O54" s="158"/>
      <c r="P54" s="158"/>
      <c r="Q54" s="158"/>
      <c r="R54" s="159"/>
      <c r="S54" s="158"/>
      <c r="T54" s="159"/>
      <c r="U54" s="160"/>
      <c r="V54" s="159"/>
      <c r="W54" s="55"/>
    </row>
    <row r="55" spans="1:23" ht="10.5" customHeight="1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72"/>
      <c r="M55" s="2"/>
      <c r="N55" s="69"/>
      <c r="O55" s="68"/>
      <c r="P55" s="2"/>
      <c r="Q55" s="2"/>
      <c r="R55" s="2"/>
      <c r="S55" s="72"/>
      <c r="T55" s="2"/>
      <c r="U55" s="72"/>
      <c r="V55" s="2"/>
      <c r="W55" s="55"/>
    </row>
    <row r="56" spans="1:23" ht="24.75" customHeight="1" thickBot="1">
      <c r="A56" s="73" t="s">
        <v>50</v>
      </c>
      <c r="B56" s="75"/>
      <c r="C56" s="77"/>
      <c r="D56" s="77"/>
      <c r="E56" s="78"/>
      <c r="F56" s="78"/>
      <c r="G56" s="78"/>
      <c r="H56" s="78"/>
      <c r="I56" s="78"/>
      <c r="J56" s="78"/>
      <c r="K56" s="79"/>
      <c r="L56" s="79"/>
      <c r="M56" s="79"/>
      <c r="N56" s="78"/>
      <c r="O56" s="78"/>
      <c r="P56" s="71"/>
      <c r="Q56" s="71"/>
      <c r="R56" s="71"/>
      <c r="S56" s="71"/>
      <c r="T56" s="71"/>
      <c r="U56" s="71"/>
      <c r="V56" s="71"/>
      <c r="W56" s="55"/>
    </row>
    <row r="57" spans="1:15" ht="12.75" customHeight="1">
      <c r="A57" s="74"/>
      <c r="B57" s="76"/>
      <c r="C57" s="74"/>
      <c r="D57" s="76"/>
      <c r="E57" s="74"/>
      <c r="F57" s="74"/>
      <c r="G57" s="74"/>
      <c r="H57" s="74"/>
      <c r="I57" s="74"/>
      <c r="J57" s="74"/>
      <c r="K57" s="80"/>
      <c r="L57" s="81"/>
      <c r="M57" s="81"/>
      <c r="N57" s="74"/>
      <c r="O57" s="74"/>
    </row>
  </sheetData>
  <sheetProtection/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showZeros="0" zoomScalePageLayoutView="0" workbookViewId="0" topLeftCell="A16">
      <selection activeCell="AB48" sqref="AB48"/>
    </sheetView>
  </sheetViews>
  <sheetFormatPr defaultColWidth="9.140625" defaultRowHeight="12.75"/>
  <cols>
    <col min="1" max="1" width="12.8515625" style="0" customWidth="1"/>
    <col min="2" max="2" width="2.57421875" style="0" customWidth="1"/>
    <col min="3" max="3" width="2.7109375" style="0" customWidth="1"/>
    <col min="4" max="5" width="4.140625" style="0" customWidth="1"/>
    <col min="6" max="6" width="6.57421875" style="0" customWidth="1"/>
    <col min="7" max="7" width="7.140625" style="0" customWidth="1"/>
    <col min="8" max="8" width="6.8515625" style="0" customWidth="1"/>
    <col min="9" max="9" width="3.421875" style="0" customWidth="1"/>
    <col min="10" max="10" width="2.8515625" style="0" customWidth="1"/>
    <col min="11" max="11" width="8.421875" style="0" customWidth="1"/>
    <col min="12" max="12" width="7.28125" style="0" customWidth="1"/>
    <col min="13" max="13" width="4.7109375" style="0" customWidth="1"/>
    <col min="14" max="14" width="1.28515625" style="0" customWidth="1"/>
    <col min="15" max="18" width="3.28125" style="0" customWidth="1"/>
    <col min="19" max="22" width="6.57421875" style="0" customWidth="1"/>
    <col min="23" max="23" width="0.7187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48</v>
      </c>
    </row>
    <row r="2" spans="1:22" ht="14.25" customHeight="1">
      <c r="A2" s="5" t="s">
        <v>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>
      <c r="A3" s="5" t="s">
        <v>7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>
      <c r="A4" s="5" t="s">
        <v>45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7" t="s">
        <v>4</v>
      </c>
      <c r="B9" s="8" t="s">
        <v>43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9</v>
      </c>
      <c r="P9" s="9"/>
      <c r="Q9" s="9"/>
      <c r="R9" s="9"/>
      <c r="S9" s="9"/>
      <c r="T9" s="9"/>
      <c r="U9" s="1"/>
      <c r="V9" s="1"/>
    </row>
    <row r="10" spans="1:22" ht="14.25" customHeight="1">
      <c r="A10" s="7" t="s">
        <v>18</v>
      </c>
      <c r="B10" s="11" t="s">
        <v>52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67</v>
      </c>
      <c r="O10" s="11" t="s">
        <v>52</v>
      </c>
      <c r="P10" s="12"/>
      <c r="Q10" s="12"/>
      <c r="R10" s="12"/>
      <c r="S10" s="12"/>
      <c r="T10" s="12"/>
      <c r="U10" s="1"/>
      <c r="V10" s="1"/>
    </row>
    <row r="11" spans="1:22" ht="14.25" customHeight="1">
      <c r="A11" s="7" t="s">
        <v>12</v>
      </c>
      <c r="B11" s="12" t="s">
        <v>30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>
      <c r="A12" s="7" t="s">
        <v>46</v>
      </c>
      <c r="B12" s="12" t="s">
        <v>19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60</v>
      </c>
      <c r="O12" s="5" t="s">
        <v>82</v>
      </c>
      <c r="P12" s="9"/>
      <c r="Q12" s="9"/>
      <c r="R12" s="9"/>
      <c r="S12" s="9"/>
      <c r="T12" s="9"/>
      <c r="U12" s="1"/>
      <c r="V12" s="1"/>
    </row>
    <row r="13" spans="1:22" ht="14.25" customHeight="1">
      <c r="A13" s="7" t="s">
        <v>40</v>
      </c>
      <c r="B13" s="12" t="s">
        <v>65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21</v>
      </c>
      <c r="O13" s="11">
        <v>2017</v>
      </c>
      <c r="P13" s="12"/>
      <c r="Q13" s="12"/>
      <c r="R13" s="12"/>
      <c r="S13" s="12"/>
      <c r="T13" s="12"/>
      <c r="U13" s="1"/>
      <c r="V13" s="1"/>
    </row>
    <row r="14" spans="1:22" ht="18" customHeight="1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</v>
      </c>
      <c r="M16" s="21"/>
      <c r="N16" s="22"/>
      <c r="O16" s="22"/>
      <c r="P16" s="22"/>
      <c r="Q16" s="22"/>
      <c r="R16" s="22"/>
      <c r="S16" s="20" t="s">
        <v>63</v>
      </c>
      <c r="T16" s="22"/>
      <c r="U16" s="22"/>
      <c r="V16" s="23"/>
    </row>
    <row r="17" spans="1:22" ht="15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28</v>
      </c>
      <c r="M17" s="29"/>
      <c r="N17" s="29"/>
      <c r="O17" s="30"/>
      <c r="P17" s="30"/>
      <c r="Q17" s="29"/>
      <c r="R17" s="29"/>
      <c r="S17" s="28" t="s">
        <v>72</v>
      </c>
      <c r="T17" s="29"/>
      <c r="U17" s="29"/>
      <c r="V17" s="31"/>
    </row>
    <row r="18" spans="1:22" ht="12.75" customHeight="1">
      <c r="A18" s="24" t="s">
        <v>42</v>
      </c>
      <c r="B18" s="25" t="s">
        <v>36</v>
      </c>
      <c r="C18" s="26"/>
      <c r="D18" s="26"/>
      <c r="E18" s="26"/>
      <c r="F18" s="26"/>
      <c r="G18" s="26"/>
      <c r="H18" s="26"/>
      <c r="I18" s="26"/>
      <c r="J18" s="26"/>
      <c r="K18" s="27" t="s">
        <v>20</v>
      </c>
      <c r="L18" s="34" t="s">
        <v>32</v>
      </c>
      <c r="M18" s="35"/>
      <c r="N18" s="35"/>
      <c r="O18" s="36"/>
      <c r="P18" s="36"/>
      <c r="Q18" s="35"/>
      <c r="R18" s="35"/>
      <c r="S18" s="34" t="s">
        <v>38</v>
      </c>
      <c r="T18" s="35"/>
      <c r="U18" s="35"/>
      <c r="V18" s="37"/>
    </row>
    <row r="19" spans="1:22" ht="15" customHeight="1">
      <c r="A19" s="24" t="s">
        <v>3</v>
      </c>
      <c r="B19" s="32"/>
      <c r="C19" s="33"/>
      <c r="D19" s="33"/>
      <c r="E19" s="33"/>
      <c r="F19" s="33"/>
      <c r="G19" s="33"/>
      <c r="H19" s="33"/>
      <c r="I19" s="33"/>
      <c r="J19" s="33"/>
      <c r="K19" s="27"/>
      <c r="L19" s="38" t="s">
        <v>10</v>
      </c>
      <c r="M19" s="39"/>
      <c r="N19" s="39"/>
      <c r="O19" s="40"/>
      <c r="P19" s="39"/>
      <c r="Q19" s="39"/>
      <c r="R19" s="39"/>
      <c r="S19" s="38" t="s">
        <v>10</v>
      </c>
      <c r="T19" s="39"/>
      <c r="U19" s="39"/>
      <c r="V19" s="41"/>
    </row>
    <row r="20" spans="1:22" ht="15" customHeight="1">
      <c r="A20" s="42"/>
      <c r="B20" s="32"/>
      <c r="C20" s="33"/>
      <c r="D20" s="33"/>
      <c r="E20" s="33"/>
      <c r="F20" s="33"/>
      <c r="G20" s="33"/>
      <c r="H20" s="33"/>
      <c r="I20" s="33"/>
      <c r="J20" s="33"/>
      <c r="K20" s="43"/>
      <c r="L20" s="38" t="s">
        <v>11</v>
      </c>
      <c r="M20" s="38"/>
      <c r="N20" s="38"/>
      <c r="O20" s="38" t="s">
        <v>69</v>
      </c>
      <c r="P20" s="38"/>
      <c r="Q20" s="38"/>
      <c r="R20" s="38"/>
      <c r="S20" s="38" t="s">
        <v>11</v>
      </c>
      <c r="T20" s="40"/>
      <c r="U20" s="38" t="s">
        <v>69</v>
      </c>
      <c r="V20" s="44"/>
    </row>
    <row r="21" spans="1:22" ht="12" customHeight="1">
      <c r="A21" s="45"/>
      <c r="B21" s="38" t="s">
        <v>57</v>
      </c>
      <c r="C21" s="48"/>
      <c r="D21" s="48"/>
      <c r="E21" s="48"/>
      <c r="F21" s="48"/>
      <c r="G21" s="48"/>
      <c r="H21" s="48"/>
      <c r="I21" s="48"/>
      <c r="J21" s="48"/>
      <c r="K21" s="50" t="s">
        <v>39</v>
      </c>
      <c r="L21" s="38" t="s">
        <v>23</v>
      </c>
      <c r="M21" s="48"/>
      <c r="N21" s="48"/>
      <c r="O21" s="38" t="s">
        <v>1</v>
      </c>
      <c r="P21" s="48"/>
      <c r="Q21" s="48"/>
      <c r="R21" s="48"/>
      <c r="S21" s="38" t="s">
        <v>55</v>
      </c>
      <c r="T21" s="48"/>
      <c r="U21" s="38" t="s">
        <v>37</v>
      </c>
      <c r="V21" s="41"/>
    </row>
    <row r="22" spans="1:23" ht="21.75" customHeight="1">
      <c r="A22" s="46"/>
      <c r="B22" s="47" t="s">
        <v>70</v>
      </c>
      <c r="C22" s="49"/>
      <c r="D22" s="49"/>
      <c r="E22" s="14"/>
      <c r="F22" s="14"/>
      <c r="G22" s="14"/>
      <c r="H22" s="14"/>
      <c r="I22" s="14"/>
      <c r="J22" s="49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4" ht="14.25" customHeight="1">
      <c r="A23" s="56">
        <v>1010</v>
      </c>
      <c r="B23" s="57" t="s">
        <v>49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159">
        <f>509.2+1188.1</f>
        <v>1697.3</v>
      </c>
      <c r="M23" s="159"/>
      <c r="N23" s="60"/>
      <c r="O23" s="158"/>
      <c r="P23" s="158"/>
      <c r="Q23" s="158"/>
      <c r="R23" s="159"/>
      <c r="S23" s="158"/>
      <c r="T23" s="159"/>
      <c r="U23" s="160"/>
      <c r="V23" s="159"/>
      <c r="W23" s="55"/>
      <c r="X23">
        <v>1697.3</v>
      </c>
    </row>
    <row r="24" spans="1:24" ht="13.5" customHeight="1">
      <c r="A24" s="56">
        <v>1020</v>
      </c>
      <c r="B24" s="57" t="s">
        <v>59</v>
      </c>
      <c r="C24" s="1"/>
      <c r="D24" s="1"/>
      <c r="E24" s="1"/>
      <c r="F24" s="1"/>
      <c r="G24" s="1"/>
      <c r="H24" s="1"/>
      <c r="I24" s="1"/>
      <c r="J24" s="1"/>
      <c r="K24" s="58" t="s">
        <v>24</v>
      </c>
      <c r="L24" s="161">
        <f>398+730</f>
        <v>1128</v>
      </c>
      <c r="M24" s="161"/>
      <c r="N24" s="61"/>
      <c r="O24" s="163"/>
      <c r="P24" s="163"/>
      <c r="Q24" s="163"/>
      <c r="R24" s="161"/>
      <c r="S24" s="163"/>
      <c r="T24" s="161"/>
      <c r="U24" s="164"/>
      <c r="V24" s="161"/>
      <c r="W24" s="55"/>
      <c r="X24">
        <v>1128</v>
      </c>
    </row>
    <row r="25" spans="1:24" ht="13.5" customHeight="1">
      <c r="A25" s="56">
        <v>1030</v>
      </c>
      <c r="B25" s="57" t="s">
        <v>16</v>
      </c>
      <c r="C25" s="1"/>
      <c r="D25" s="1"/>
      <c r="E25" s="1"/>
      <c r="F25" s="1"/>
      <c r="G25" s="1"/>
      <c r="H25" s="1"/>
      <c r="I25" s="1"/>
      <c r="J25" s="1"/>
      <c r="K25" s="58" t="s">
        <v>24</v>
      </c>
      <c r="L25" s="159">
        <f>713.3+1585.9</f>
        <v>2299.2</v>
      </c>
      <c r="M25" s="159"/>
      <c r="N25" s="60"/>
      <c r="O25" s="158"/>
      <c r="P25" s="158"/>
      <c r="Q25" s="158"/>
      <c r="R25" s="159"/>
      <c r="S25" s="158"/>
      <c r="T25" s="159"/>
      <c r="U25" s="160"/>
      <c r="V25" s="159"/>
      <c r="W25" s="55"/>
      <c r="X25">
        <v>2299.2</v>
      </c>
    </row>
    <row r="26" spans="1:24" ht="13.5" customHeight="1">
      <c r="A26" s="56">
        <v>1040</v>
      </c>
      <c r="B26" s="57" t="s">
        <v>27</v>
      </c>
      <c r="C26" s="1"/>
      <c r="D26" s="1"/>
      <c r="E26" s="1"/>
      <c r="F26" s="1"/>
      <c r="G26" s="1"/>
      <c r="H26" s="1"/>
      <c r="I26" s="1"/>
      <c r="J26" s="1"/>
      <c r="K26" s="58" t="s">
        <v>24</v>
      </c>
      <c r="L26" s="161">
        <f>53146+76857</f>
        <v>130003</v>
      </c>
      <c r="M26" s="161"/>
      <c r="N26" s="61"/>
      <c r="O26" s="158"/>
      <c r="P26" s="158"/>
      <c r="Q26" s="158"/>
      <c r="R26" s="159"/>
      <c r="S26" s="158"/>
      <c r="T26" s="159"/>
      <c r="U26" s="160"/>
      <c r="V26" s="159"/>
      <c r="W26" s="55"/>
      <c r="X26">
        <v>130003</v>
      </c>
    </row>
    <row r="27" spans="1:24" ht="13.5" customHeight="1">
      <c r="A27" s="56">
        <v>1050</v>
      </c>
      <c r="B27" s="57" t="s">
        <v>8</v>
      </c>
      <c r="C27" s="1"/>
      <c r="D27" s="1"/>
      <c r="E27" s="1"/>
      <c r="F27" s="1"/>
      <c r="G27" s="1"/>
      <c r="H27" s="1"/>
      <c r="I27" s="1"/>
      <c r="J27" s="1"/>
      <c r="K27" s="58" t="s">
        <v>24</v>
      </c>
      <c r="L27" s="159">
        <f>14.259+18.377+1.8+5.6</f>
        <v>40.035999999999994</v>
      </c>
      <c r="M27" s="159"/>
      <c r="N27" s="60"/>
      <c r="O27" s="158"/>
      <c r="P27" s="158"/>
      <c r="Q27" s="158"/>
      <c r="R27" s="159"/>
      <c r="S27" s="158"/>
      <c r="T27" s="159"/>
      <c r="U27" s="160"/>
      <c r="V27" s="159"/>
      <c r="W27" s="55"/>
      <c r="X27">
        <v>40.035999999999994</v>
      </c>
    </row>
    <row r="28" spans="1:24" ht="13.5" customHeight="1">
      <c r="A28" s="56">
        <v>1060</v>
      </c>
      <c r="B28" s="57" t="s">
        <v>64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159">
        <f>66793.7+129951.2</f>
        <v>196744.9</v>
      </c>
      <c r="M28" s="159"/>
      <c r="N28" s="60"/>
      <c r="O28" s="158"/>
      <c r="P28" s="158"/>
      <c r="Q28" s="158"/>
      <c r="R28" s="159"/>
      <c r="S28" s="158"/>
      <c r="T28" s="159"/>
      <c r="U28" s="160"/>
      <c r="V28" s="159"/>
      <c r="W28" s="55"/>
      <c r="X28">
        <v>196744.9</v>
      </c>
    </row>
    <row r="29" spans="1:24" ht="13.5" customHeight="1">
      <c r="A29" s="56">
        <v>1070</v>
      </c>
      <c r="B29" s="57" t="s">
        <v>41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159">
        <f>76826.4+160244.7</f>
        <v>237071.1</v>
      </c>
      <c r="M29" s="159"/>
      <c r="N29" s="60"/>
      <c r="O29" s="158"/>
      <c r="P29" s="158"/>
      <c r="Q29" s="158"/>
      <c r="R29" s="159"/>
      <c r="S29" s="158"/>
      <c r="T29" s="159"/>
      <c r="U29" s="160"/>
      <c r="V29" s="159"/>
      <c r="W29" s="55"/>
      <c r="X29">
        <v>237071.1</v>
      </c>
    </row>
    <row r="30" spans="1:23" ht="13.5" customHeight="1">
      <c r="A30" s="56">
        <v>1080</v>
      </c>
      <c r="B30" s="57" t="s">
        <v>14</v>
      </c>
      <c r="C30" s="1"/>
      <c r="D30" s="1"/>
      <c r="E30" s="1"/>
      <c r="F30" s="1"/>
      <c r="G30" s="1"/>
      <c r="H30" s="1"/>
      <c r="I30" s="1"/>
      <c r="J30" s="1"/>
      <c r="K30" s="58" t="s">
        <v>56</v>
      </c>
      <c r="L30" s="162">
        <f>L28/L29</f>
        <v>0.8298982878975969</v>
      </c>
      <c r="M30" s="162"/>
      <c r="N30" s="62"/>
      <c r="O30" s="158"/>
      <c r="P30" s="158"/>
      <c r="Q30" s="158"/>
      <c r="R30" s="159"/>
      <c r="S30" s="158"/>
      <c r="T30" s="159"/>
      <c r="U30" s="160"/>
      <c r="V30" s="159"/>
      <c r="W30" s="55"/>
    </row>
    <row r="31" spans="1:23" ht="13.5" customHeight="1">
      <c r="A31" s="56"/>
      <c r="B31" s="57" t="s">
        <v>33</v>
      </c>
      <c r="C31" s="1"/>
      <c r="D31" s="1"/>
      <c r="E31" s="1"/>
      <c r="F31" s="1"/>
      <c r="G31" s="1"/>
      <c r="H31" s="1"/>
      <c r="I31" s="1"/>
      <c r="J31" s="1"/>
      <c r="K31" s="58"/>
      <c r="L31" s="59"/>
      <c r="M31" s="60"/>
      <c r="N31" s="60"/>
      <c r="O31" s="158"/>
      <c r="P31" s="158"/>
      <c r="Q31" s="158"/>
      <c r="R31" s="159"/>
      <c r="S31" s="158"/>
      <c r="T31" s="159"/>
      <c r="U31" s="160"/>
      <c r="V31" s="159"/>
      <c r="W31" s="55"/>
    </row>
    <row r="32" spans="1:24" ht="13.5" customHeight="1">
      <c r="A32" s="56">
        <v>1091</v>
      </c>
      <c r="B32" s="57"/>
      <c r="C32" s="1" t="s">
        <v>54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159">
        <f>6679.4+13117.6</f>
        <v>19797</v>
      </c>
      <c r="M32" s="159"/>
      <c r="N32" s="60"/>
      <c r="O32" s="158"/>
      <c r="P32" s="158"/>
      <c r="Q32" s="158"/>
      <c r="R32" s="159"/>
      <c r="S32" s="158"/>
      <c r="T32" s="159"/>
      <c r="U32" s="160"/>
      <c r="V32" s="159"/>
      <c r="W32" s="55"/>
      <c r="X32">
        <v>19797</v>
      </c>
    </row>
    <row r="33" spans="1:24" ht="13.5" customHeight="1">
      <c r="A33" s="56">
        <v>1092</v>
      </c>
      <c r="B33" s="57"/>
      <c r="C33" s="1" t="s">
        <v>47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159">
        <f>17.1+30</f>
        <v>47.1</v>
      </c>
      <c r="M33" s="159"/>
      <c r="N33" s="60"/>
      <c r="O33" s="158"/>
      <c r="P33" s="158"/>
      <c r="Q33" s="158"/>
      <c r="R33" s="159"/>
      <c r="S33" s="158"/>
      <c r="T33" s="159"/>
      <c r="U33" s="160"/>
      <c r="V33" s="159"/>
      <c r="W33" s="55"/>
      <c r="X33">
        <v>47.1</v>
      </c>
    </row>
    <row r="34" spans="1:24" ht="13.5" customHeight="1">
      <c r="A34" s="56">
        <v>1093</v>
      </c>
      <c r="B34" s="57"/>
      <c r="C34" s="1" t="s">
        <v>25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159">
        <f>2.1+7.6</f>
        <v>9.7</v>
      </c>
      <c r="M34" s="159"/>
      <c r="N34" s="60"/>
      <c r="O34" s="158"/>
      <c r="P34" s="158"/>
      <c r="Q34" s="158"/>
      <c r="R34" s="159"/>
      <c r="S34" s="158"/>
      <c r="T34" s="159"/>
      <c r="U34" s="160"/>
      <c r="V34" s="159"/>
      <c r="W34" s="55"/>
      <c r="X34">
        <v>9.7</v>
      </c>
    </row>
    <row r="35" spans="1:24" ht="13.5" customHeight="1">
      <c r="A35" s="56">
        <v>1094</v>
      </c>
      <c r="B35" s="57"/>
      <c r="C35" s="1" t="s">
        <v>0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159">
        <f>L32+L33+L34</f>
        <v>19853.8</v>
      </c>
      <c r="M35" s="159"/>
      <c r="N35" s="60"/>
      <c r="O35" s="158"/>
      <c r="P35" s="158"/>
      <c r="Q35" s="158"/>
      <c r="R35" s="159"/>
      <c r="S35" s="158"/>
      <c r="T35" s="159"/>
      <c r="U35" s="160"/>
      <c r="V35" s="159"/>
      <c r="W35" s="55"/>
      <c r="X35">
        <v>19853.8</v>
      </c>
    </row>
    <row r="36" spans="1:24" ht="13.5" customHeight="1">
      <c r="A36" s="56">
        <v>1100</v>
      </c>
      <c r="B36" s="57" t="s">
        <v>44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159">
        <f>8391.1+17750.1</f>
        <v>26141.199999999997</v>
      </c>
      <c r="M36" s="159"/>
      <c r="N36" s="60"/>
      <c r="O36" s="158"/>
      <c r="P36" s="158"/>
      <c r="Q36" s="158"/>
      <c r="R36" s="159"/>
      <c r="S36" s="158"/>
      <c r="T36" s="159"/>
      <c r="U36" s="160"/>
      <c r="V36" s="159"/>
      <c r="W36" s="55"/>
      <c r="X36">
        <v>26141.199999999997</v>
      </c>
    </row>
    <row r="37" spans="1:23" ht="13.5" customHeight="1">
      <c r="A37" s="56">
        <v>1110</v>
      </c>
      <c r="B37" s="57" t="s">
        <v>15</v>
      </c>
      <c r="C37" s="1"/>
      <c r="D37" s="1"/>
      <c r="E37" s="1"/>
      <c r="F37" s="1"/>
      <c r="G37" s="1"/>
      <c r="H37" s="1"/>
      <c r="I37" s="1"/>
      <c r="J37" s="1"/>
      <c r="K37" s="58" t="s">
        <v>56</v>
      </c>
      <c r="L37" s="162">
        <f>L35/L36</f>
        <v>0.7594831147766744</v>
      </c>
      <c r="M37" s="162"/>
      <c r="N37" s="62"/>
      <c r="O37" s="158"/>
      <c r="P37" s="158"/>
      <c r="Q37" s="158"/>
      <c r="R37" s="159"/>
      <c r="S37" s="158"/>
      <c r="T37" s="159"/>
      <c r="U37" s="160"/>
      <c r="V37" s="159"/>
      <c r="W37" s="55"/>
    </row>
    <row r="38" spans="1:23" ht="11.25" customHeight="1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59"/>
      <c r="M38" s="60"/>
      <c r="N38" s="60"/>
      <c r="O38" s="158"/>
      <c r="P38" s="158"/>
      <c r="Q38" s="158"/>
      <c r="R38" s="159"/>
      <c r="S38" s="158"/>
      <c r="T38" s="159"/>
      <c r="U38" s="160"/>
      <c r="V38" s="159"/>
      <c r="W38" s="55"/>
    </row>
    <row r="39" spans="1:23" ht="13.5" customHeight="1">
      <c r="A39" s="56"/>
      <c r="B39" s="63" t="s">
        <v>62</v>
      </c>
      <c r="C39" s="1"/>
      <c r="D39" s="1"/>
      <c r="E39" s="1"/>
      <c r="F39" s="1"/>
      <c r="G39" s="1"/>
      <c r="H39" s="1"/>
      <c r="I39" s="1"/>
      <c r="J39" s="1"/>
      <c r="K39" s="58"/>
      <c r="L39" s="64"/>
      <c r="M39" s="65"/>
      <c r="N39" s="65"/>
      <c r="O39" s="64"/>
      <c r="P39" s="65"/>
      <c r="Q39" s="65"/>
      <c r="R39" s="65"/>
      <c r="S39" s="64"/>
      <c r="T39" s="65"/>
      <c r="U39" s="64"/>
      <c r="V39" s="65"/>
      <c r="W39" s="55"/>
    </row>
    <row r="40" spans="1:24" ht="13.5" customHeight="1">
      <c r="A40" s="56">
        <v>2010</v>
      </c>
      <c r="B40" s="57" t="s">
        <v>29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159">
        <f>0+92.7</f>
        <v>92.7</v>
      </c>
      <c r="M40" s="159"/>
      <c r="N40" s="60"/>
      <c r="O40" s="158"/>
      <c r="P40" s="158"/>
      <c r="Q40" s="158"/>
      <c r="R40" s="159"/>
      <c r="S40" s="158"/>
      <c r="T40" s="159"/>
      <c r="U40" s="160"/>
      <c r="V40" s="159"/>
      <c r="W40" s="55"/>
      <c r="X40">
        <v>92.7</v>
      </c>
    </row>
    <row r="41" spans="1:24" ht="13.5" customHeight="1">
      <c r="A41" s="56">
        <v>2020</v>
      </c>
      <c r="B41" s="57" t="s">
        <v>51</v>
      </c>
      <c r="C41" s="1"/>
      <c r="D41" s="66"/>
      <c r="E41" s="1"/>
      <c r="F41" s="1"/>
      <c r="G41" s="1"/>
      <c r="H41" s="1"/>
      <c r="I41" s="1"/>
      <c r="J41" s="1"/>
      <c r="K41" s="58" t="s">
        <v>24</v>
      </c>
      <c r="L41" s="161">
        <f>0+80</f>
        <v>80</v>
      </c>
      <c r="M41" s="161"/>
      <c r="N41" s="60"/>
      <c r="O41" s="158"/>
      <c r="P41" s="158"/>
      <c r="Q41" s="158"/>
      <c r="R41" s="159"/>
      <c r="S41" s="158"/>
      <c r="T41" s="159"/>
      <c r="U41" s="160"/>
      <c r="V41" s="159"/>
      <c r="W41" s="55"/>
      <c r="X41">
        <v>80</v>
      </c>
    </row>
    <row r="42" spans="1:24" ht="13.5" customHeight="1">
      <c r="A42" s="56">
        <v>2030</v>
      </c>
      <c r="B42" s="57" t="s">
        <v>34</v>
      </c>
      <c r="C42" s="1"/>
      <c r="D42" s="1"/>
      <c r="E42" s="1"/>
      <c r="F42" s="1"/>
      <c r="G42" s="1"/>
      <c r="H42" s="1"/>
      <c r="I42" s="1"/>
      <c r="J42" s="1"/>
      <c r="K42" s="58" t="s">
        <v>24</v>
      </c>
      <c r="L42" s="159">
        <f>0+132</f>
        <v>132</v>
      </c>
      <c r="M42" s="159"/>
      <c r="N42" s="60"/>
      <c r="O42" s="158"/>
      <c r="P42" s="158"/>
      <c r="Q42" s="158"/>
      <c r="R42" s="159"/>
      <c r="S42" s="158"/>
      <c r="T42" s="159"/>
      <c r="U42" s="160"/>
      <c r="V42" s="159"/>
      <c r="W42" s="55"/>
      <c r="X42">
        <v>132</v>
      </c>
    </row>
    <row r="43" spans="1:24" ht="13.5" customHeight="1">
      <c r="A43" s="56">
        <v>2040</v>
      </c>
      <c r="B43" s="57" t="s">
        <v>71</v>
      </c>
      <c r="C43" s="1"/>
      <c r="D43" s="1"/>
      <c r="E43" s="1"/>
      <c r="F43" s="1"/>
      <c r="G43" s="1"/>
      <c r="H43" s="1"/>
      <c r="I43" s="1"/>
      <c r="J43" s="1"/>
      <c r="K43" s="58" t="s">
        <v>24</v>
      </c>
      <c r="L43" s="161">
        <f>0+12030</f>
        <v>12030</v>
      </c>
      <c r="M43" s="161"/>
      <c r="N43" s="61"/>
      <c r="O43" s="158"/>
      <c r="P43" s="158"/>
      <c r="Q43" s="158"/>
      <c r="R43" s="159"/>
      <c r="S43" s="158"/>
      <c r="T43" s="159"/>
      <c r="U43" s="160"/>
      <c r="V43" s="159"/>
      <c r="W43" s="55"/>
      <c r="X43">
        <v>12030</v>
      </c>
    </row>
    <row r="44" spans="1:24" ht="13.5" customHeight="1">
      <c r="A44" s="56">
        <v>2050</v>
      </c>
      <c r="B44" s="57" t="s">
        <v>58</v>
      </c>
      <c r="C44" s="1"/>
      <c r="D44" s="66"/>
      <c r="E44" s="1"/>
      <c r="F44" s="1"/>
      <c r="G44" s="1"/>
      <c r="H44" s="1"/>
      <c r="I44" s="1"/>
      <c r="J44" s="1"/>
      <c r="K44" s="58" t="s">
        <v>24</v>
      </c>
      <c r="L44" s="159">
        <f>0+0.899+0+0</f>
        <v>0.899</v>
      </c>
      <c r="M44" s="159"/>
      <c r="N44" s="60"/>
      <c r="O44" s="158"/>
      <c r="P44" s="158"/>
      <c r="Q44" s="158"/>
      <c r="R44" s="159"/>
      <c r="S44" s="158"/>
      <c r="T44" s="159"/>
      <c r="U44" s="160"/>
      <c r="V44" s="159"/>
      <c r="W44" s="55"/>
      <c r="X44">
        <v>0.899</v>
      </c>
    </row>
    <row r="45" spans="1:24" ht="13.5" customHeight="1">
      <c r="A45" s="56">
        <v>2060</v>
      </c>
      <c r="B45" s="57" t="s">
        <v>22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159">
        <f>0+13815</f>
        <v>13815</v>
      </c>
      <c r="M45" s="159"/>
      <c r="N45" s="60"/>
      <c r="O45" s="158"/>
      <c r="P45" s="158"/>
      <c r="Q45" s="158"/>
      <c r="R45" s="159"/>
      <c r="S45" s="158"/>
      <c r="T45" s="159"/>
      <c r="U45" s="160"/>
      <c r="V45" s="159"/>
      <c r="W45" s="55"/>
      <c r="X45">
        <v>13815</v>
      </c>
    </row>
    <row r="46" spans="1:24" ht="13.5" customHeight="1">
      <c r="A46" s="56">
        <v>2070</v>
      </c>
      <c r="B46" s="57" t="s">
        <v>53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159">
        <f>0+15304.9</f>
        <v>15304.9</v>
      </c>
      <c r="M46" s="159"/>
      <c r="N46" s="60"/>
      <c r="O46" s="158"/>
      <c r="P46" s="158"/>
      <c r="Q46" s="158"/>
      <c r="R46" s="159"/>
      <c r="S46" s="158"/>
      <c r="T46" s="159"/>
      <c r="U46" s="160"/>
      <c r="V46" s="159"/>
      <c r="W46" s="55"/>
      <c r="X46">
        <v>15304.9</v>
      </c>
    </row>
    <row r="47" spans="1:23" ht="13.5" customHeight="1">
      <c r="A47" s="56"/>
      <c r="B47" s="57" t="s">
        <v>13</v>
      </c>
      <c r="C47" s="1" t="s">
        <v>61</v>
      </c>
      <c r="D47" s="1"/>
      <c r="E47" s="1"/>
      <c r="F47" s="1"/>
      <c r="G47" s="1"/>
      <c r="H47" s="1"/>
      <c r="I47" s="1"/>
      <c r="J47" s="1"/>
      <c r="K47" s="58"/>
      <c r="L47" s="59"/>
      <c r="M47" s="60"/>
      <c r="N47" s="60"/>
      <c r="O47" s="158"/>
      <c r="P47" s="158"/>
      <c r="Q47" s="158"/>
      <c r="R47" s="159"/>
      <c r="S47" s="158"/>
      <c r="T47" s="159"/>
      <c r="U47" s="160"/>
      <c r="V47" s="159"/>
      <c r="W47" s="55"/>
    </row>
    <row r="48" spans="1:24" ht="13.5" customHeight="1">
      <c r="A48" s="56">
        <v>2091</v>
      </c>
      <c r="B48" s="57"/>
      <c r="C48" s="1" t="s">
        <v>54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159">
        <f>0+1389.8</f>
        <v>1389.8</v>
      </c>
      <c r="M48" s="159"/>
      <c r="N48" s="60"/>
      <c r="O48" s="158"/>
      <c r="P48" s="158"/>
      <c r="Q48" s="158"/>
      <c r="R48" s="159"/>
      <c r="S48" s="158"/>
      <c r="T48" s="159"/>
      <c r="U48" s="160"/>
      <c r="V48" s="159"/>
      <c r="W48" s="55"/>
      <c r="X48">
        <v>1389.8</v>
      </c>
    </row>
    <row r="49" spans="1:24" ht="13.5" customHeight="1">
      <c r="A49" s="56">
        <v>2092</v>
      </c>
      <c r="B49" s="57"/>
      <c r="C49" s="1" t="s">
        <v>35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159">
        <f>0+1+0+0</f>
        <v>1</v>
      </c>
      <c r="M49" s="159"/>
      <c r="N49" s="60"/>
      <c r="O49" s="158"/>
      <c r="P49" s="158"/>
      <c r="Q49" s="158"/>
      <c r="R49" s="159"/>
      <c r="S49" s="158"/>
      <c r="T49" s="159"/>
      <c r="U49" s="160"/>
      <c r="V49" s="159"/>
      <c r="W49" s="55"/>
      <c r="X49">
        <v>1</v>
      </c>
    </row>
    <row r="50" spans="1:24" ht="13.5" customHeight="1">
      <c r="A50" s="56">
        <v>2094</v>
      </c>
      <c r="B50" s="57"/>
      <c r="C50" s="1" t="s">
        <v>26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159">
        <f>L48+L49</f>
        <v>1390.8</v>
      </c>
      <c r="M50" s="159"/>
      <c r="N50" s="60"/>
      <c r="O50" s="158"/>
      <c r="P50" s="158"/>
      <c r="Q50" s="158"/>
      <c r="R50" s="159"/>
      <c r="S50" s="158"/>
      <c r="T50" s="159"/>
      <c r="U50" s="160"/>
      <c r="V50" s="159"/>
      <c r="W50" s="55"/>
      <c r="X50">
        <v>1390.8</v>
      </c>
    </row>
    <row r="51" spans="1:24" ht="13.5" customHeight="1">
      <c r="A51" s="56">
        <v>2100</v>
      </c>
      <c r="B51" s="57" t="s">
        <v>31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159">
        <f>0+1638.3</f>
        <v>1638.3</v>
      </c>
      <c r="M51" s="159"/>
      <c r="N51" s="60"/>
      <c r="O51" s="158"/>
      <c r="P51" s="158"/>
      <c r="Q51" s="158"/>
      <c r="R51" s="159"/>
      <c r="S51" s="158"/>
      <c r="T51" s="159"/>
      <c r="U51" s="160"/>
      <c r="V51" s="159"/>
      <c r="W51" s="55"/>
      <c r="X51">
        <v>1638.3</v>
      </c>
    </row>
    <row r="52" spans="1:23" ht="10.5" customHeight="1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59"/>
      <c r="M52" s="60"/>
      <c r="N52" s="60"/>
      <c r="O52" s="158"/>
      <c r="P52" s="158"/>
      <c r="Q52" s="158"/>
      <c r="R52" s="159"/>
      <c r="S52" s="158"/>
      <c r="T52" s="159"/>
      <c r="U52" s="160"/>
      <c r="V52" s="159"/>
      <c r="W52" s="55"/>
    </row>
    <row r="53" spans="1:23" ht="13.5" customHeight="1">
      <c r="A53" s="56"/>
      <c r="B53" s="63" t="s">
        <v>66</v>
      </c>
      <c r="C53" s="1"/>
      <c r="D53" s="1"/>
      <c r="E53" s="1"/>
      <c r="F53" s="1"/>
      <c r="G53" s="1"/>
      <c r="H53" s="1"/>
      <c r="I53" s="1"/>
      <c r="J53" s="1"/>
      <c r="K53" s="58"/>
      <c r="L53" s="64"/>
      <c r="M53" s="65"/>
      <c r="N53" s="65"/>
      <c r="O53" s="64"/>
      <c r="P53" s="65"/>
      <c r="Q53" s="65"/>
      <c r="R53" s="65"/>
      <c r="S53" s="64"/>
      <c r="T53" s="65"/>
      <c r="U53" s="64"/>
      <c r="V53" s="65"/>
      <c r="W53" s="55"/>
    </row>
    <row r="54" spans="1:23" ht="13.5" customHeight="1">
      <c r="A54" s="56">
        <v>2330</v>
      </c>
      <c r="B54" s="57" t="s">
        <v>68</v>
      </c>
      <c r="C54" s="1"/>
      <c r="D54" s="1"/>
      <c r="E54" s="1"/>
      <c r="F54" s="1"/>
      <c r="G54" s="1"/>
      <c r="H54" s="1"/>
      <c r="I54" s="1"/>
      <c r="J54" s="1"/>
      <c r="K54" s="58" t="s">
        <v>24</v>
      </c>
      <c r="L54" s="159">
        <f>0+10.2</f>
        <v>10.2</v>
      </c>
      <c r="M54" s="159"/>
      <c r="N54" s="60"/>
      <c r="O54" s="158">
        <v>2</v>
      </c>
      <c r="P54" s="158"/>
      <c r="Q54" s="158"/>
      <c r="R54" s="159"/>
      <c r="S54" s="158"/>
      <c r="T54" s="159"/>
      <c r="U54" s="160"/>
      <c r="V54" s="159"/>
      <c r="W54" s="55"/>
    </row>
    <row r="55" spans="1:23" ht="10.5" customHeight="1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72"/>
      <c r="M55" s="2"/>
      <c r="N55" s="69"/>
      <c r="O55" s="68"/>
      <c r="P55" s="2"/>
      <c r="Q55" s="2"/>
      <c r="R55" s="2"/>
      <c r="S55" s="72"/>
      <c r="T55" s="2"/>
      <c r="U55" s="72"/>
      <c r="V55" s="2"/>
      <c r="W55" s="55"/>
    </row>
    <row r="56" spans="1:23" ht="24.75" customHeight="1" thickBot="1">
      <c r="A56" s="73" t="s">
        <v>50</v>
      </c>
      <c r="B56" s="75"/>
      <c r="C56" s="77"/>
      <c r="D56" s="77"/>
      <c r="E56" s="78"/>
      <c r="F56" s="78"/>
      <c r="G56" s="78"/>
      <c r="H56" s="78"/>
      <c r="I56" s="78"/>
      <c r="J56" s="78"/>
      <c r="K56" s="79"/>
      <c r="L56" s="79"/>
      <c r="M56" s="79"/>
      <c r="N56" s="78"/>
      <c r="O56" s="78"/>
      <c r="P56" s="71"/>
      <c r="Q56" s="71"/>
      <c r="R56" s="71"/>
      <c r="S56" s="71"/>
      <c r="T56" s="71"/>
      <c r="U56" s="71"/>
      <c r="V56" s="71"/>
      <c r="W56" s="55"/>
    </row>
    <row r="57" spans="1:15" ht="12.75" customHeight="1">
      <c r="A57" s="74"/>
      <c r="B57" s="76"/>
      <c r="C57" s="74"/>
      <c r="D57" s="76"/>
      <c r="E57" s="74"/>
      <c r="F57" s="74"/>
      <c r="G57" s="74"/>
      <c r="H57" s="74"/>
      <c r="I57" s="74"/>
      <c r="J57" s="74"/>
      <c r="K57" s="80"/>
      <c r="L57" s="81"/>
      <c r="M57" s="81"/>
      <c r="N57" s="74"/>
      <c r="O57" s="74"/>
    </row>
  </sheetData>
  <sheetProtection/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showZeros="0" zoomScalePageLayoutView="0" workbookViewId="0" topLeftCell="A19">
      <selection activeCell="Z59" sqref="Z59"/>
    </sheetView>
  </sheetViews>
  <sheetFormatPr defaultColWidth="9.140625" defaultRowHeight="12.75"/>
  <cols>
    <col min="1" max="1" width="12.8515625" style="0" customWidth="1"/>
    <col min="2" max="2" width="2.57421875" style="0" customWidth="1"/>
    <col min="3" max="3" width="2.7109375" style="0" customWidth="1"/>
    <col min="4" max="5" width="4.140625" style="0" customWidth="1"/>
    <col min="6" max="6" width="6.57421875" style="0" customWidth="1"/>
    <col min="7" max="7" width="7.140625" style="0" customWidth="1"/>
    <col min="8" max="8" width="6.8515625" style="0" customWidth="1"/>
    <col min="9" max="9" width="3.421875" style="0" customWidth="1"/>
    <col min="10" max="10" width="2.8515625" style="0" customWidth="1"/>
    <col min="11" max="11" width="8.421875" style="0" customWidth="1"/>
    <col min="12" max="12" width="7.28125" style="0" customWidth="1"/>
    <col min="13" max="13" width="4.7109375" style="0" customWidth="1"/>
    <col min="14" max="14" width="1.28515625" style="0" customWidth="1"/>
    <col min="15" max="18" width="3.28125" style="0" customWidth="1"/>
    <col min="19" max="22" width="6.57421875" style="0" customWidth="1"/>
    <col min="23" max="23" width="0.7187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48</v>
      </c>
    </row>
    <row r="2" spans="1:22" ht="14.25" customHeight="1">
      <c r="A2" s="5" t="s">
        <v>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>
      <c r="A3" s="5" t="s">
        <v>7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>
      <c r="A4" s="5" t="s">
        <v>45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7" t="s">
        <v>4</v>
      </c>
      <c r="B9" s="8" t="s">
        <v>43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9</v>
      </c>
      <c r="P9" s="9"/>
      <c r="Q9" s="9"/>
      <c r="R9" s="9"/>
      <c r="S9" s="9"/>
      <c r="T9" s="9"/>
      <c r="U9" s="1"/>
      <c r="V9" s="1"/>
    </row>
    <row r="10" spans="1:22" ht="14.25" customHeight="1">
      <c r="A10" s="7" t="s">
        <v>18</v>
      </c>
      <c r="B10" s="11" t="s">
        <v>52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67</v>
      </c>
      <c r="O10" s="11" t="s">
        <v>52</v>
      </c>
      <c r="P10" s="12"/>
      <c r="Q10" s="12"/>
      <c r="R10" s="12"/>
      <c r="S10" s="12"/>
      <c r="T10" s="12"/>
      <c r="U10" s="1"/>
      <c r="V10" s="1"/>
    </row>
    <row r="11" spans="1:22" ht="14.25" customHeight="1">
      <c r="A11" s="7" t="s">
        <v>12</v>
      </c>
      <c r="B11" s="12" t="s">
        <v>30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>
      <c r="A12" s="7" t="s">
        <v>46</v>
      </c>
      <c r="B12" s="12" t="s">
        <v>19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60</v>
      </c>
      <c r="O12" s="5" t="s">
        <v>87</v>
      </c>
      <c r="P12" s="9"/>
      <c r="Q12" s="9"/>
      <c r="R12" s="9"/>
      <c r="S12" s="9"/>
      <c r="T12" s="9"/>
      <c r="U12" s="1"/>
      <c r="V12" s="1"/>
    </row>
    <row r="13" spans="1:22" ht="14.25" customHeight="1">
      <c r="A13" s="7" t="s">
        <v>40</v>
      </c>
      <c r="B13" s="12" t="s">
        <v>65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21</v>
      </c>
      <c r="O13" s="11">
        <v>2017</v>
      </c>
      <c r="P13" s="12"/>
      <c r="Q13" s="12"/>
      <c r="R13" s="12"/>
      <c r="S13" s="12"/>
      <c r="T13" s="12"/>
      <c r="U13" s="1"/>
      <c r="V13" s="1"/>
    </row>
    <row r="14" spans="1:22" ht="18" customHeight="1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</v>
      </c>
      <c r="M16" s="21"/>
      <c r="N16" s="22"/>
      <c r="O16" s="22"/>
      <c r="P16" s="22"/>
      <c r="Q16" s="22"/>
      <c r="R16" s="22"/>
      <c r="S16" s="20" t="s">
        <v>63</v>
      </c>
      <c r="T16" s="22"/>
      <c r="U16" s="22"/>
      <c r="V16" s="23"/>
    </row>
    <row r="17" spans="1:22" ht="15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28</v>
      </c>
      <c r="M17" s="29"/>
      <c r="N17" s="29"/>
      <c r="O17" s="30"/>
      <c r="P17" s="30"/>
      <c r="Q17" s="29"/>
      <c r="R17" s="29"/>
      <c r="S17" s="28" t="s">
        <v>72</v>
      </c>
      <c r="T17" s="29"/>
      <c r="U17" s="29"/>
      <c r="V17" s="31"/>
    </row>
    <row r="18" spans="1:22" ht="12.75" customHeight="1">
      <c r="A18" s="24" t="s">
        <v>42</v>
      </c>
      <c r="B18" s="25" t="s">
        <v>36</v>
      </c>
      <c r="C18" s="26"/>
      <c r="D18" s="26"/>
      <c r="E18" s="26"/>
      <c r="F18" s="26"/>
      <c r="G18" s="26"/>
      <c r="H18" s="26"/>
      <c r="I18" s="26"/>
      <c r="J18" s="26"/>
      <c r="K18" s="27" t="s">
        <v>20</v>
      </c>
      <c r="L18" s="34" t="s">
        <v>32</v>
      </c>
      <c r="M18" s="35"/>
      <c r="N18" s="35"/>
      <c r="O18" s="36"/>
      <c r="P18" s="36"/>
      <c r="Q18" s="35"/>
      <c r="R18" s="35"/>
      <c r="S18" s="34" t="s">
        <v>38</v>
      </c>
      <c r="T18" s="35"/>
      <c r="U18" s="35"/>
      <c r="V18" s="37"/>
    </row>
    <row r="19" spans="1:22" ht="15" customHeight="1">
      <c r="A19" s="24" t="s">
        <v>3</v>
      </c>
      <c r="B19" s="32"/>
      <c r="C19" s="33"/>
      <c r="D19" s="33"/>
      <c r="E19" s="33"/>
      <c r="F19" s="33"/>
      <c r="G19" s="33"/>
      <c r="H19" s="33"/>
      <c r="I19" s="33"/>
      <c r="J19" s="33"/>
      <c r="K19" s="27"/>
      <c r="L19" s="38" t="s">
        <v>10</v>
      </c>
      <c r="M19" s="39"/>
      <c r="N19" s="39"/>
      <c r="O19" s="40"/>
      <c r="P19" s="39"/>
      <c r="Q19" s="39"/>
      <c r="R19" s="39"/>
      <c r="S19" s="38" t="s">
        <v>10</v>
      </c>
      <c r="T19" s="39"/>
      <c r="U19" s="39"/>
      <c r="V19" s="41"/>
    </row>
    <row r="20" spans="1:22" ht="15" customHeight="1">
      <c r="A20" s="42"/>
      <c r="B20" s="32"/>
      <c r="C20" s="33"/>
      <c r="D20" s="33"/>
      <c r="E20" s="33"/>
      <c r="F20" s="33"/>
      <c r="G20" s="33"/>
      <c r="H20" s="33"/>
      <c r="I20" s="33"/>
      <c r="J20" s="33"/>
      <c r="K20" s="43"/>
      <c r="L20" s="38" t="s">
        <v>11</v>
      </c>
      <c r="M20" s="38"/>
      <c r="N20" s="38"/>
      <c r="O20" s="38" t="s">
        <v>69</v>
      </c>
      <c r="P20" s="38"/>
      <c r="Q20" s="38"/>
      <c r="R20" s="38"/>
      <c r="S20" s="38" t="s">
        <v>11</v>
      </c>
      <c r="T20" s="40"/>
      <c r="U20" s="38" t="s">
        <v>69</v>
      </c>
      <c r="V20" s="44"/>
    </row>
    <row r="21" spans="1:22" ht="12" customHeight="1">
      <c r="A21" s="45"/>
      <c r="B21" s="38" t="s">
        <v>57</v>
      </c>
      <c r="C21" s="48"/>
      <c r="D21" s="48"/>
      <c r="E21" s="48"/>
      <c r="F21" s="48"/>
      <c r="G21" s="48"/>
      <c r="H21" s="48"/>
      <c r="I21" s="48"/>
      <c r="J21" s="48"/>
      <c r="K21" s="50" t="s">
        <v>39</v>
      </c>
      <c r="L21" s="38" t="s">
        <v>23</v>
      </c>
      <c r="M21" s="48"/>
      <c r="N21" s="48"/>
      <c r="O21" s="38" t="s">
        <v>1</v>
      </c>
      <c r="P21" s="48"/>
      <c r="Q21" s="48"/>
      <c r="R21" s="48"/>
      <c r="S21" s="38" t="s">
        <v>55</v>
      </c>
      <c r="T21" s="48"/>
      <c r="U21" s="38" t="s">
        <v>37</v>
      </c>
      <c r="V21" s="41"/>
    </row>
    <row r="22" spans="1:23" ht="21.75" customHeight="1">
      <c r="A22" s="46"/>
      <c r="B22" s="47" t="s">
        <v>70</v>
      </c>
      <c r="C22" s="49"/>
      <c r="D22" s="49"/>
      <c r="E22" s="14"/>
      <c r="F22" s="14"/>
      <c r="G22" s="14"/>
      <c r="H22" s="14"/>
      <c r="I22" s="14"/>
      <c r="J22" s="49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4" ht="14.25" customHeight="1">
      <c r="A23" s="56">
        <v>1010</v>
      </c>
      <c r="B23" s="57" t="s">
        <v>49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159">
        <f>421.1+974.1</f>
        <v>1395.2</v>
      </c>
      <c r="M23" s="159"/>
      <c r="N23" s="60"/>
      <c r="O23" s="158"/>
      <c r="P23" s="158"/>
      <c r="Q23" s="158"/>
      <c r="R23" s="159"/>
      <c r="S23" s="158"/>
      <c r="T23" s="159"/>
      <c r="U23" s="160"/>
      <c r="V23" s="159"/>
      <c r="W23" s="55"/>
      <c r="X23">
        <v>1395.2</v>
      </c>
    </row>
    <row r="24" spans="1:24" ht="13.5" customHeight="1">
      <c r="A24" s="56">
        <v>1020</v>
      </c>
      <c r="B24" s="57" t="s">
        <v>59</v>
      </c>
      <c r="C24" s="1"/>
      <c r="D24" s="1"/>
      <c r="E24" s="1"/>
      <c r="F24" s="1"/>
      <c r="G24" s="1"/>
      <c r="H24" s="1"/>
      <c r="I24" s="1"/>
      <c r="J24" s="1"/>
      <c r="K24" s="58" t="s">
        <v>24</v>
      </c>
      <c r="L24" s="161">
        <f>332+609</f>
        <v>941</v>
      </c>
      <c r="M24" s="161"/>
      <c r="N24" s="61"/>
      <c r="O24" s="163"/>
      <c r="P24" s="163"/>
      <c r="Q24" s="163"/>
      <c r="R24" s="161"/>
      <c r="S24" s="163"/>
      <c r="T24" s="161"/>
      <c r="U24" s="164"/>
      <c r="V24" s="161"/>
      <c r="W24" s="55"/>
      <c r="X24">
        <v>941</v>
      </c>
    </row>
    <row r="25" spans="1:24" ht="13.5" customHeight="1">
      <c r="A25" s="56">
        <v>1030</v>
      </c>
      <c r="B25" s="57" t="s">
        <v>16</v>
      </c>
      <c r="C25" s="1"/>
      <c r="D25" s="1"/>
      <c r="E25" s="1"/>
      <c r="F25" s="1"/>
      <c r="G25" s="1"/>
      <c r="H25" s="1"/>
      <c r="I25" s="1"/>
      <c r="J25" s="1"/>
      <c r="K25" s="58" t="s">
        <v>24</v>
      </c>
      <c r="L25" s="159">
        <f>593.6+1309.2</f>
        <v>1902.8000000000002</v>
      </c>
      <c r="M25" s="159"/>
      <c r="N25" s="60"/>
      <c r="O25" s="158"/>
      <c r="P25" s="158"/>
      <c r="Q25" s="158"/>
      <c r="R25" s="159"/>
      <c r="S25" s="158"/>
      <c r="T25" s="159"/>
      <c r="U25" s="160"/>
      <c r="V25" s="159"/>
      <c r="W25" s="55"/>
      <c r="X25">
        <v>1902.8000000000002</v>
      </c>
    </row>
    <row r="26" spans="1:24" ht="13.5" customHeight="1">
      <c r="A26" s="56">
        <v>1040</v>
      </c>
      <c r="B26" s="57" t="s">
        <v>27</v>
      </c>
      <c r="C26" s="1"/>
      <c r="D26" s="1"/>
      <c r="E26" s="1"/>
      <c r="F26" s="1"/>
      <c r="G26" s="1"/>
      <c r="H26" s="1"/>
      <c r="I26" s="1"/>
      <c r="J26" s="1"/>
      <c r="K26" s="58" t="s">
        <v>24</v>
      </c>
      <c r="L26" s="161">
        <f>40011+58177</f>
        <v>98188</v>
      </c>
      <c r="M26" s="161"/>
      <c r="N26" s="61"/>
      <c r="O26" s="158"/>
      <c r="P26" s="158"/>
      <c r="Q26" s="158"/>
      <c r="R26" s="159"/>
      <c r="S26" s="158"/>
      <c r="T26" s="159"/>
      <c r="U26" s="160"/>
      <c r="V26" s="159"/>
      <c r="W26" s="55"/>
      <c r="X26">
        <v>98188</v>
      </c>
    </row>
    <row r="27" spans="1:24" ht="13.5" customHeight="1">
      <c r="A27" s="56">
        <v>1050</v>
      </c>
      <c r="B27" s="57" t="s">
        <v>8</v>
      </c>
      <c r="C27" s="1"/>
      <c r="D27" s="1"/>
      <c r="E27" s="1"/>
      <c r="F27" s="1"/>
      <c r="G27" s="1"/>
      <c r="H27" s="1"/>
      <c r="I27" s="1"/>
      <c r="J27" s="1"/>
      <c r="K27" s="58" t="s">
        <v>24</v>
      </c>
      <c r="L27" s="159">
        <f>16.265+19.919+1.9+3.4</f>
        <v>41.483999999999995</v>
      </c>
      <c r="M27" s="159"/>
      <c r="N27" s="60"/>
      <c r="O27" s="158"/>
      <c r="P27" s="158"/>
      <c r="Q27" s="158"/>
      <c r="R27" s="159"/>
      <c r="S27" s="158"/>
      <c r="T27" s="159"/>
      <c r="U27" s="160"/>
      <c r="V27" s="159"/>
      <c r="W27" s="55"/>
      <c r="X27">
        <v>41.483999999999995</v>
      </c>
    </row>
    <row r="28" spans="1:24" ht="13.5" customHeight="1">
      <c r="A28" s="56">
        <v>1060</v>
      </c>
      <c r="B28" s="57" t="s">
        <v>64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159">
        <f>50023.2+97172.5</f>
        <v>147195.7</v>
      </c>
      <c r="M28" s="159"/>
      <c r="N28" s="60"/>
      <c r="O28" s="158"/>
      <c r="P28" s="158"/>
      <c r="Q28" s="158"/>
      <c r="R28" s="159"/>
      <c r="S28" s="158"/>
      <c r="T28" s="159"/>
      <c r="U28" s="160"/>
      <c r="V28" s="159"/>
      <c r="W28" s="55"/>
      <c r="X28">
        <v>147195.7</v>
      </c>
    </row>
    <row r="29" spans="1:24" ht="13.5" customHeight="1">
      <c r="A29" s="56">
        <v>1070</v>
      </c>
      <c r="B29" s="57" t="s">
        <v>41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159">
        <f>62178.2+127481.8</f>
        <v>189660</v>
      </c>
      <c r="M29" s="159"/>
      <c r="N29" s="60"/>
      <c r="O29" s="158"/>
      <c r="P29" s="158"/>
      <c r="Q29" s="158"/>
      <c r="R29" s="159"/>
      <c r="S29" s="158"/>
      <c r="T29" s="159"/>
      <c r="U29" s="160"/>
      <c r="V29" s="159"/>
      <c r="W29" s="55"/>
      <c r="X29">
        <v>189660</v>
      </c>
    </row>
    <row r="30" spans="1:23" ht="13.5" customHeight="1">
      <c r="A30" s="56">
        <v>1080</v>
      </c>
      <c r="B30" s="57" t="s">
        <v>14</v>
      </c>
      <c r="C30" s="1"/>
      <c r="D30" s="1"/>
      <c r="E30" s="1"/>
      <c r="F30" s="1"/>
      <c r="G30" s="1"/>
      <c r="H30" s="1"/>
      <c r="I30" s="1"/>
      <c r="J30" s="1"/>
      <c r="K30" s="58" t="s">
        <v>56</v>
      </c>
      <c r="L30" s="162">
        <f>L28/L29</f>
        <v>0.7761030264684172</v>
      </c>
      <c r="M30" s="162"/>
      <c r="N30" s="62"/>
      <c r="O30" s="158"/>
      <c r="P30" s="158"/>
      <c r="Q30" s="158"/>
      <c r="R30" s="159"/>
      <c r="S30" s="158"/>
      <c r="T30" s="159"/>
      <c r="U30" s="160"/>
      <c r="V30" s="159"/>
      <c r="W30" s="55"/>
    </row>
    <row r="31" spans="1:23" ht="13.5" customHeight="1">
      <c r="A31" s="56"/>
      <c r="B31" s="57" t="s">
        <v>33</v>
      </c>
      <c r="C31" s="1"/>
      <c r="D31" s="1"/>
      <c r="E31" s="1"/>
      <c r="F31" s="1"/>
      <c r="G31" s="1"/>
      <c r="H31" s="1"/>
      <c r="I31" s="1"/>
      <c r="J31" s="1"/>
      <c r="K31" s="58"/>
      <c r="L31" s="59"/>
      <c r="M31" s="60"/>
      <c r="N31" s="60"/>
      <c r="O31" s="158"/>
      <c r="P31" s="158"/>
      <c r="Q31" s="158"/>
      <c r="R31" s="159"/>
      <c r="S31" s="158"/>
      <c r="T31" s="159"/>
      <c r="U31" s="160"/>
      <c r="V31" s="159"/>
      <c r="W31" s="55"/>
    </row>
    <row r="32" spans="1:24" ht="13.5" customHeight="1">
      <c r="A32" s="56">
        <v>1091</v>
      </c>
      <c r="B32" s="57"/>
      <c r="C32" s="1" t="s">
        <v>54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159">
        <f>5009.9+9710.7</f>
        <v>14720.6</v>
      </c>
      <c r="M32" s="159"/>
      <c r="N32" s="60"/>
      <c r="O32" s="158"/>
      <c r="P32" s="158"/>
      <c r="Q32" s="158"/>
      <c r="R32" s="159"/>
      <c r="S32" s="158"/>
      <c r="T32" s="159"/>
      <c r="U32" s="160"/>
      <c r="V32" s="159"/>
      <c r="W32" s="55"/>
      <c r="X32">
        <v>14720.6</v>
      </c>
    </row>
    <row r="33" spans="1:24" ht="13.5" customHeight="1">
      <c r="A33" s="56">
        <v>1092</v>
      </c>
      <c r="B33" s="57"/>
      <c r="C33" s="1" t="s">
        <v>47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159">
        <f>19.2+34.1</f>
        <v>53.3</v>
      </c>
      <c r="M33" s="159"/>
      <c r="N33" s="60"/>
      <c r="O33" s="158"/>
      <c r="P33" s="158"/>
      <c r="Q33" s="158"/>
      <c r="R33" s="159"/>
      <c r="S33" s="158"/>
      <c r="T33" s="159"/>
      <c r="U33" s="160"/>
      <c r="V33" s="159"/>
      <c r="W33" s="55"/>
      <c r="X33">
        <v>53.3</v>
      </c>
    </row>
    <row r="34" spans="1:24" ht="13.5" customHeight="1">
      <c r="A34" s="56">
        <v>1093</v>
      </c>
      <c r="B34" s="57"/>
      <c r="C34" s="1" t="s">
        <v>25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159">
        <f>2.2+5.5</f>
        <v>7.7</v>
      </c>
      <c r="M34" s="159"/>
      <c r="N34" s="60"/>
      <c r="O34" s="158"/>
      <c r="P34" s="158"/>
      <c r="Q34" s="158"/>
      <c r="R34" s="159"/>
      <c r="S34" s="158"/>
      <c r="T34" s="159"/>
      <c r="U34" s="160"/>
      <c r="V34" s="159"/>
      <c r="W34" s="55"/>
      <c r="X34">
        <v>7.7</v>
      </c>
    </row>
    <row r="35" spans="1:24" ht="13.5" customHeight="1">
      <c r="A35" s="56">
        <v>1094</v>
      </c>
      <c r="B35" s="57"/>
      <c r="C35" s="1" t="s">
        <v>0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159">
        <f>L32+L33+L34</f>
        <v>14781.6</v>
      </c>
      <c r="M35" s="159"/>
      <c r="N35" s="60"/>
      <c r="O35" s="158"/>
      <c r="P35" s="158"/>
      <c r="Q35" s="158"/>
      <c r="R35" s="159"/>
      <c r="S35" s="158"/>
      <c r="T35" s="159"/>
      <c r="U35" s="160"/>
      <c r="V35" s="159"/>
      <c r="W35" s="55"/>
      <c r="X35">
        <v>14781.6</v>
      </c>
    </row>
    <row r="36" spans="1:24" ht="13.5" customHeight="1">
      <c r="A36" s="56">
        <v>1100</v>
      </c>
      <c r="B36" s="57" t="s">
        <v>44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159">
        <f>6814.2+14141.5</f>
        <v>20955.7</v>
      </c>
      <c r="M36" s="159"/>
      <c r="N36" s="60"/>
      <c r="O36" s="158"/>
      <c r="P36" s="158"/>
      <c r="Q36" s="158"/>
      <c r="R36" s="159"/>
      <c r="S36" s="158"/>
      <c r="T36" s="159"/>
      <c r="U36" s="160"/>
      <c r="V36" s="159"/>
      <c r="W36" s="55"/>
      <c r="X36">
        <v>20955.7</v>
      </c>
    </row>
    <row r="37" spans="1:23" ht="13.5" customHeight="1">
      <c r="A37" s="56">
        <v>1110</v>
      </c>
      <c r="B37" s="57" t="s">
        <v>15</v>
      </c>
      <c r="C37" s="1"/>
      <c r="D37" s="1"/>
      <c r="E37" s="1"/>
      <c r="F37" s="1"/>
      <c r="G37" s="1"/>
      <c r="H37" s="1"/>
      <c r="I37" s="1"/>
      <c r="J37" s="1"/>
      <c r="K37" s="58" t="s">
        <v>56</v>
      </c>
      <c r="L37" s="162">
        <f>L35/L36</f>
        <v>0.7053737169362035</v>
      </c>
      <c r="M37" s="162"/>
      <c r="N37" s="62"/>
      <c r="O37" s="158"/>
      <c r="P37" s="158"/>
      <c r="Q37" s="158"/>
      <c r="R37" s="159"/>
      <c r="S37" s="158"/>
      <c r="T37" s="159"/>
      <c r="U37" s="160"/>
      <c r="V37" s="159"/>
      <c r="W37" s="55"/>
    </row>
    <row r="38" spans="1:23" ht="11.25" customHeight="1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59"/>
      <c r="M38" s="60"/>
      <c r="N38" s="60"/>
      <c r="O38" s="158"/>
      <c r="P38" s="158"/>
      <c r="Q38" s="158"/>
      <c r="R38" s="159"/>
      <c r="S38" s="158"/>
      <c r="T38" s="159"/>
      <c r="U38" s="160"/>
      <c r="V38" s="159"/>
      <c r="W38" s="55"/>
    </row>
    <row r="39" spans="1:23" ht="13.5" customHeight="1">
      <c r="A39" s="56"/>
      <c r="B39" s="63" t="s">
        <v>62</v>
      </c>
      <c r="C39" s="1"/>
      <c r="D39" s="1"/>
      <c r="E39" s="1"/>
      <c r="F39" s="1"/>
      <c r="G39" s="1"/>
      <c r="H39" s="1"/>
      <c r="I39" s="1"/>
      <c r="J39" s="1"/>
      <c r="K39" s="58"/>
      <c r="L39" s="64"/>
      <c r="M39" s="65"/>
      <c r="N39" s="65"/>
      <c r="O39" s="64"/>
      <c r="P39" s="65"/>
      <c r="Q39" s="65"/>
      <c r="R39" s="65"/>
      <c r="S39" s="64"/>
      <c r="T39" s="65"/>
      <c r="U39" s="64"/>
      <c r="V39" s="65"/>
      <c r="W39" s="55"/>
    </row>
    <row r="40" spans="1:24" ht="13.5" customHeight="1">
      <c r="A40" s="56">
        <v>2010</v>
      </c>
      <c r="B40" s="57" t="s">
        <v>29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159">
        <f>0+61.6</f>
        <v>61.6</v>
      </c>
      <c r="M40" s="159"/>
      <c r="N40" s="60"/>
      <c r="O40" s="158"/>
      <c r="P40" s="158"/>
      <c r="Q40" s="158"/>
      <c r="R40" s="159"/>
      <c r="S40" s="158"/>
      <c r="T40" s="159"/>
      <c r="U40" s="160"/>
      <c r="V40" s="159"/>
      <c r="W40" s="55"/>
      <c r="X40">
        <v>61.6</v>
      </c>
    </row>
    <row r="41" spans="1:24" ht="13.5" customHeight="1">
      <c r="A41" s="56">
        <v>2020</v>
      </c>
      <c r="B41" s="57" t="s">
        <v>51</v>
      </c>
      <c r="C41" s="1"/>
      <c r="D41" s="66"/>
      <c r="E41" s="1"/>
      <c r="F41" s="1"/>
      <c r="G41" s="1"/>
      <c r="H41" s="1"/>
      <c r="I41" s="1"/>
      <c r="J41" s="1"/>
      <c r="K41" s="58" t="s">
        <v>24</v>
      </c>
      <c r="L41" s="161">
        <f>0+53</f>
        <v>53</v>
      </c>
      <c r="M41" s="161"/>
      <c r="N41" s="60"/>
      <c r="O41" s="158"/>
      <c r="P41" s="158"/>
      <c r="Q41" s="158"/>
      <c r="R41" s="159"/>
      <c r="S41" s="158"/>
      <c r="T41" s="159"/>
      <c r="U41" s="160"/>
      <c r="V41" s="159"/>
      <c r="W41" s="55"/>
      <c r="X41">
        <v>53</v>
      </c>
    </row>
    <row r="42" spans="1:24" ht="13.5" customHeight="1">
      <c r="A42" s="56">
        <v>2030</v>
      </c>
      <c r="B42" s="57" t="s">
        <v>34</v>
      </c>
      <c r="C42" s="1"/>
      <c r="D42" s="1"/>
      <c r="E42" s="1"/>
      <c r="F42" s="1"/>
      <c r="G42" s="1"/>
      <c r="H42" s="1"/>
      <c r="I42" s="1"/>
      <c r="J42" s="1"/>
      <c r="K42" s="58" t="s">
        <v>24</v>
      </c>
      <c r="L42" s="159">
        <f>0+88.1</f>
        <v>88.1</v>
      </c>
      <c r="M42" s="159"/>
      <c r="N42" s="60"/>
      <c r="O42" s="158"/>
      <c r="P42" s="158"/>
      <c r="Q42" s="158"/>
      <c r="R42" s="159"/>
      <c r="S42" s="158"/>
      <c r="T42" s="159"/>
      <c r="U42" s="160"/>
      <c r="V42" s="159"/>
      <c r="W42" s="55"/>
      <c r="X42">
        <v>88.1</v>
      </c>
    </row>
    <row r="43" spans="1:24" ht="13.5" customHeight="1">
      <c r="A43" s="56">
        <v>2040</v>
      </c>
      <c r="B43" s="57" t="s">
        <v>71</v>
      </c>
      <c r="C43" s="1"/>
      <c r="D43" s="1"/>
      <c r="E43" s="1"/>
      <c r="F43" s="1"/>
      <c r="G43" s="1"/>
      <c r="H43" s="1"/>
      <c r="I43" s="1"/>
      <c r="J43" s="1"/>
      <c r="K43" s="58" t="s">
        <v>24</v>
      </c>
      <c r="L43" s="161">
        <f>0+7981</f>
        <v>7981</v>
      </c>
      <c r="M43" s="161"/>
      <c r="N43" s="61"/>
      <c r="O43" s="158"/>
      <c r="P43" s="158"/>
      <c r="Q43" s="158"/>
      <c r="R43" s="159"/>
      <c r="S43" s="158"/>
      <c r="T43" s="159"/>
      <c r="U43" s="160"/>
      <c r="V43" s="159"/>
      <c r="W43" s="55"/>
      <c r="X43">
        <v>7981</v>
      </c>
    </row>
    <row r="44" spans="1:24" ht="13.5" customHeight="1">
      <c r="A44" s="56">
        <v>2050</v>
      </c>
      <c r="B44" s="57" t="s">
        <v>58</v>
      </c>
      <c r="C44" s="1"/>
      <c r="D44" s="66"/>
      <c r="E44" s="1"/>
      <c r="F44" s="1"/>
      <c r="G44" s="1"/>
      <c r="H44" s="1"/>
      <c r="I44" s="1"/>
      <c r="J44" s="1"/>
      <c r="K44" s="58" t="s">
        <v>24</v>
      </c>
      <c r="L44" s="159">
        <f>0+0+0+0</f>
        <v>0</v>
      </c>
      <c r="M44" s="159"/>
      <c r="N44" s="60"/>
      <c r="O44" s="158"/>
      <c r="P44" s="158"/>
      <c r="Q44" s="158"/>
      <c r="R44" s="159"/>
      <c r="S44" s="158"/>
      <c r="T44" s="159"/>
      <c r="U44" s="160"/>
      <c r="V44" s="159"/>
      <c r="W44" s="55"/>
      <c r="X44">
        <v>0</v>
      </c>
    </row>
    <row r="45" spans="1:24" ht="13.5" customHeight="1">
      <c r="A45" s="56">
        <v>2060</v>
      </c>
      <c r="B45" s="57" t="s">
        <v>22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159">
        <f>0+9208.4</f>
        <v>9208.4</v>
      </c>
      <c r="M45" s="159"/>
      <c r="N45" s="60"/>
      <c r="O45" s="158"/>
      <c r="P45" s="158"/>
      <c r="Q45" s="158"/>
      <c r="R45" s="159"/>
      <c r="S45" s="158"/>
      <c r="T45" s="159"/>
      <c r="U45" s="160"/>
      <c r="V45" s="159"/>
      <c r="W45" s="55"/>
      <c r="X45">
        <v>9208.4</v>
      </c>
    </row>
    <row r="46" spans="1:24" ht="13.5" customHeight="1">
      <c r="A46" s="56">
        <v>2070</v>
      </c>
      <c r="B46" s="57" t="s">
        <v>53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159">
        <f>0+10065.2</f>
        <v>10065.2</v>
      </c>
      <c r="M46" s="159"/>
      <c r="N46" s="60"/>
      <c r="O46" s="158"/>
      <c r="P46" s="158"/>
      <c r="Q46" s="158"/>
      <c r="R46" s="159"/>
      <c r="S46" s="158"/>
      <c r="T46" s="159"/>
      <c r="U46" s="160"/>
      <c r="V46" s="159"/>
      <c r="W46" s="55"/>
      <c r="X46">
        <v>10065.2</v>
      </c>
    </row>
    <row r="47" spans="1:23" ht="13.5" customHeight="1">
      <c r="A47" s="56"/>
      <c r="B47" s="57" t="s">
        <v>13</v>
      </c>
      <c r="C47" s="1" t="s">
        <v>61</v>
      </c>
      <c r="D47" s="1"/>
      <c r="E47" s="1"/>
      <c r="F47" s="1"/>
      <c r="G47" s="1"/>
      <c r="H47" s="1"/>
      <c r="I47" s="1"/>
      <c r="J47" s="1"/>
      <c r="K47" s="58"/>
      <c r="L47" s="59"/>
      <c r="M47" s="60"/>
      <c r="N47" s="60"/>
      <c r="O47" s="158"/>
      <c r="P47" s="158"/>
      <c r="Q47" s="158"/>
      <c r="R47" s="159"/>
      <c r="S47" s="158"/>
      <c r="T47" s="159"/>
      <c r="U47" s="160"/>
      <c r="V47" s="159"/>
      <c r="W47" s="55"/>
    </row>
    <row r="48" spans="1:24" ht="13.5" customHeight="1">
      <c r="A48" s="56">
        <v>2091</v>
      </c>
      <c r="B48" s="57"/>
      <c r="C48" s="1" t="s">
        <v>54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159">
        <f>0+919.4</f>
        <v>919.4</v>
      </c>
      <c r="M48" s="159"/>
      <c r="N48" s="60"/>
      <c r="O48" s="158"/>
      <c r="P48" s="158"/>
      <c r="Q48" s="158"/>
      <c r="R48" s="159"/>
      <c r="S48" s="158"/>
      <c r="T48" s="159"/>
      <c r="U48" s="160"/>
      <c r="V48" s="159"/>
      <c r="W48" s="55"/>
      <c r="X48">
        <v>919.4</v>
      </c>
    </row>
    <row r="49" spans="1:24" ht="13.5" customHeight="1">
      <c r="A49" s="56">
        <v>2092</v>
      </c>
      <c r="B49" s="57"/>
      <c r="C49" s="1" t="s">
        <v>35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159">
        <f>0+0+0+0</f>
        <v>0</v>
      </c>
      <c r="M49" s="159"/>
      <c r="N49" s="60"/>
      <c r="O49" s="158"/>
      <c r="P49" s="158"/>
      <c r="Q49" s="158"/>
      <c r="R49" s="159"/>
      <c r="S49" s="158"/>
      <c r="T49" s="159"/>
      <c r="U49" s="160"/>
      <c r="V49" s="159"/>
      <c r="W49" s="55"/>
      <c r="X49">
        <v>0</v>
      </c>
    </row>
    <row r="50" spans="1:24" ht="13.5" customHeight="1">
      <c r="A50" s="56">
        <v>2094</v>
      </c>
      <c r="B50" s="57"/>
      <c r="C50" s="1" t="s">
        <v>26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159">
        <f>L48+L49</f>
        <v>919.4</v>
      </c>
      <c r="M50" s="159"/>
      <c r="N50" s="60"/>
      <c r="O50" s="158"/>
      <c r="P50" s="158"/>
      <c r="Q50" s="158"/>
      <c r="R50" s="159"/>
      <c r="S50" s="158"/>
      <c r="T50" s="159"/>
      <c r="U50" s="160"/>
      <c r="V50" s="159"/>
      <c r="W50" s="55"/>
      <c r="X50">
        <v>919.4</v>
      </c>
    </row>
    <row r="51" spans="1:24" ht="13.5" customHeight="1">
      <c r="A51" s="56">
        <v>2100</v>
      </c>
      <c r="B51" s="57" t="s">
        <v>31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159">
        <f>0+1078.1</f>
        <v>1078.1</v>
      </c>
      <c r="M51" s="159"/>
      <c r="N51" s="60"/>
      <c r="O51" s="158"/>
      <c r="P51" s="158"/>
      <c r="Q51" s="158"/>
      <c r="R51" s="159"/>
      <c r="S51" s="158"/>
      <c r="T51" s="159"/>
      <c r="U51" s="160"/>
      <c r="V51" s="159"/>
      <c r="W51" s="55"/>
      <c r="X51">
        <v>1078.1</v>
      </c>
    </row>
    <row r="52" spans="1:23" ht="10.5" customHeight="1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59"/>
      <c r="M52" s="60"/>
      <c r="N52" s="60"/>
      <c r="O52" s="158"/>
      <c r="P52" s="158"/>
      <c r="Q52" s="158"/>
      <c r="R52" s="159"/>
      <c r="S52" s="158"/>
      <c r="T52" s="159"/>
      <c r="U52" s="160"/>
      <c r="V52" s="159"/>
      <c r="W52" s="55"/>
    </row>
    <row r="53" spans="1:23" ht="13.5" customHeight="1">
      <c r="A53" s="56"/>
      <c r="B53" s="63" t="s">
        <v>66</v>
      </c>
      <c r="C53" s="1"/>
      <c r="D53" s="1"/>
      <c r="E53" s="1"/>
      <c r="F53" s="1"/>
      <c r="G53" s="1"/>
      <c r="H53" s="1"/>
      <c r="I53" s="1"/>
      <c r="J53" s="1"/>
      <c r="K53" s="58"/>
      <c r="L53" s="64"/>
      <c r="M53" s="65"/>
      <c r="N53" s="65"/>
      <c r="O53" s="64"/>
      <c r="P53" s="65"/>
      <c r="Q53" s="65"/>
      <c r="R53" s="65"/>
      <c r="S53" s="64"/>
      <c r="T53" s="65"/>
      <c r="U53" s="64"/>
      <c r="V53" s="65"/>
      <c r="W53" s="55"/>
    </row>
    <row r="54" spans="1:23" ht="13.5" customHeight="1">
      <c r="A54" s="56">
        <v>2330</v>
      </c>
      <c r="B54" s="57" t="s">
        <v>68</v>
      </c>
      <c r="C54" s="1"/>
      <c r="D54" s="1"/>
      <c r="E54" s="1"/>
      <c r="F54" s="1"/>
      <c r="G54" s="1"/>
      <c r="H54" s="1"/>
      <c r="I54" s="1"/>
      <c r="J54" s="1"/>
      <c r="K54" s="58" t="s">
        <v>24</v>
      </c>
      <c r="L54" s="159">
        <f>0+10.3</f>
        <v>10.3</v>
      </c>
      <c r="M54" s="159"/>
      <c r="N54" s="60"/>
      <c r="O54" s="158">
        <v>2.2</v>
      </c>
      <c r="P54" s="158"/>
      <c r="Q54" s="158"/>
      <c r="R54" s="159"/>
      <c r="S54" s="158"/>
      <c r="T54" s="159"/>
      <c r="U54" s="160"/>
      <c r="V54" s="159"/>
      <c r="W54" s="55"/>
    </row>
    <row r="55" spans="1:23" ht="10.5" customHeight="1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72"/>
      <c r="M55" s="2"/>
      <c r="N55" s="69"/>
      <c r="O55" s="68"/>
      <c r="P55" s="2"/>
      <c r="Q55" s="2"/>
      <c r="R55" s="2"/>
      <c r="S55" s="72"/>
      <c r="T55" s="2"/>
      <c r="U55" s="72"/>
      <c r="V55" s="2"/>
      <c r="W55" s="55"/>
    </row>
    <row r="56" spans="1:23" ht="24.75" customHeight="1" thickBot="1">
      <c r="A56" s="73" t="s">
        <v>50</v>
      </c>
      <c r="B56" s="75"/>
      <c r="C56" s="77"/>
      <c r="D56" s="77"/>
      <c r="E56" s="78"/>
      <c r="F56" s="78"/>
      <c r="G56" s="78"/>
      <c r="H56" s="78"/>
      <c r="I56" s="78"/>
      <c r="J56" s="78"/>
      <c r="K56" s="79"/>
      <c r="L56" s="79"/>
      <c r="M56" s="79"/>
      <c r="N56" s="78"/>
      <c r="O56" s="78"/>
      <c r="P56" s="71"/>
      <c r="Q56" s="71"/>
      <c r="R56" s="71"/>
      <c r="S56" s="71"/>
      <c r="T56" s="71"/>
      <c r="U56" s="71"/>
      <c r="V56" s="71"/>
      <c r="W56" s="55"/>
    </row>
    <row r="57" spans="1:15" ht="12.75" customHeight="1">
      <c r="A57" s="74"/>
      <c r="B57" s="76"/>
      <c r="C57" s="74"/>
      <c r="D57" s="76"/>
      <c r="E57" s="74"/>
      <c r="F57" s="74"/>
      <c r="G57" s="74"/>
      <c r="H57" s="74"/>
      <c r="I57" s="74"/>
      <c r="J57" s="74"/>
      <c r="K57" s="80"/>
      <c r="L57" s="81"/>
      <c r="M57" s="81"/>
      <c r="N57" s="74"/>
      <c r="O57" s="74"/>
    </row>
  </sheetData>
  <sheetProtection/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Violina Rosca</cp:lastModifiedBy>
  <cp:lastPrinted>2018-01-12T11:32:33Z</cp:lastPrinted>
  <dcterms:created xsi:type="dcterms:W3CDTF">2017-02-08T09:27:27Z</dcterms:created>
  <dcterms:modified xsi:type="dcterms:W3CDTF">2018-01-12T11:35:26Z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