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60" windowHeight="8250" tabRatio="601" firstSheet="4" activeTab="4"/>
  </bookViews>
  <sheets>
    <sheet name="31.03.2012" sheetId="1" state="hidden" r:id="rId1"/>
    <sheet name="30,12,2011" sheetId="2" state="hidden" r:id="rId2"/>
    <sheet name="30.06.2012" sheetId="3" state="hidden" r:id="rId3"/>
    <sheet name="30092012" sheetId="4" state="hidden" r:id="rId4"/>
    <sheet name="31,12,2017" sheetId="5" r:id="rId5"/>
  </sheets>
  <definedNames/>
  <calcPr fullCalcOnLoad="1"/>
</workbook>
</file>

<file path=xl/sharedStrings.xml><?xml version="1.0" encoding="utf-8"?>
<sst xmlns="http://schemas.openxmlformats.org/spreadsheetml/2006/main" count="526" uniqueCount="54">
  <si>
    <t>Valuta evidentei</t>
  </si>
  <si>
    <t>Recreditat cumulativ</t>
  </si>
  <si>
    <t>Rambursat cumulativ</t>
  </si>
  <si>
    <t>inclusiv</t>
  </si>
  <si>
    <t>DR</t>
  </si>
  <si>
    <t>DLC</t>
  </si>
  <si>
    <t>MF</t>
  </si>
  <si>
    <t>inclisiv</t>
  </si>
  <si>
    <t>Total</t>
  </si>
  <si>
    <t>imprum directe</t>
  </si>
  <si>
    <t>mijloace circulante</t>
  </si>
  <si>
    <t>mii lei</t>
  </si>
  <si>
    <t>mii $</t>
  </si>
  <si>
    <t>mii Euro</t>
  </si>
  <si>
    <t>mii RUR</t>
  </si>
  <si>
    <t>$ -</t>
  </si>
  <si>
    <t xml:space="preserve"> Euro</t>
  </si>
  <si>
    <t>Sold</t>
  </si>
  <si>
    <t>TOTAL in lei</t>
  </si>
  <si>
    <t>FIDA</t>
  </si>
  <si>
    <t>Total general MF+DLC</t>
  </si>
  <si>
    <t>Total general DLC + FIDA</t>
  </si>
  <si>
    <t xml:space="preserve"> MF</t>
  </si>
  <si>
    <t>Recreditat in anul 2011</t>
  </si>
  <si>
    <t>Rambursat in anul  2011</t>
  </si>
  <si>
    <t>Sold RECALCULAT la 30 12 2011</t>
  </si>
  <si>
    <t>Recreditat intr.I anul 2012</t>
  </si>
  <si>
    <t>Sold RECALCULAT la 31 03 2012</t>
  </si>
  <si>
    <t>Rambursat in tr.I anul  2012</t>
  </si>
  <si>
    <t>Recreditat in tr.II anul 2012</t>
  </si>
  <si>
    <t>Rambursat in tr.II anul  2012</t>
  </si>
  <si>
    <t>Sold RECALCULAT la 30.09.2012</t>
  </si>
  <si>
    <t>Sold RECALCULAT la 30.06.2012</t>
  </si>
  <si>
    <t>Recreditat pentru 9 luni ale anul 2012</t>
  </si>
  <si>
    <t>Rambursat pentru 9 luni ale anului  2012</t>
  </si>
  <si>
    <t>mii JPY</t>
  </si>
  <si>
    <t>JPY</t>
  </si>
  <si>
    <t xml:space="preserve">recalculat în lei </t>
  </si>
  <si>
    <t>inclusiv:</t>
  </si>
  <si>
    <t xml:space="preserve">Total general </t>
  </si>
  <si>
    <t>Ministerul Finanțelor</t>
  </si>
  <si>
    <t>Directoratul Liniei de Credit</t>
  </si>
  <si>
    <t>Fondul Internațional pentru Dezvoltare Agricolă</t>
  </si>
  <si>
    <t>$</t>
  </si>
  <si>
    <t>€ -</t>
  </si>
  <si>
    <t>TOTAL in mii lei</t>
  </si>
  <si>
    <t>Informația privind împrumuturile recreditate prin intermediul Ministerului Finanțelor (MF), Directoratului Liniei de Credit (DLC) și Unității de Implementare a Proiectului Fondului Internațional pentru Dezvoltare Agricolă (FIDA) la situația din 31 decembrie 2018</t>
  </si>
  <si>
    <t>Cursul oficial de schimb valutar, stabilit de BNM la situaţia din 31.12.2018</t>
  </si>
  <si>
    <t>Recreditat cumulativ în perioada 01.01.1992-31.12.2018</t>
  </si>
  <si>
    <t>Recreditat în prerioada 01.01.2018-31.12.2018</t>
  </si>
  <si>
    <t xml:space="preserve">Rambursat cumulativ în perioada 01.01.1992-31.12.2018 </t>
  </si>
  <si>
    <t>Rambursat în perioada 01.01.2018-31.12.2018</t>
  </si>
  <si>
    <t>Soldul datoriei în valuta împrumutului la 31.12.2018</t>
  </si>
  <si>
    <t>Soldul datoriei recalculat în monedă națională la 31.12.2018 (mii lei)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</si>
</sst>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.0"/>
    <numFmt numFmtId="197" formatCode="0.000"/>
    <numFmt numFmtId="198" formatCode="#,##0.0"/>
    <numFmt numFmtId="199" formatCode="#,##0.000"/>
    <numFmt numFmtId="200" formatCode="0.0000"/>
    <numFmt numFmtId="201" formatCode="0.00000"/>
    <numFmt numFmtId="202" formatCode="0.000000"/>
    <numFmt numFmtId="203" formatCode="0.0000000"/>
    <numFmt numFmtId="204" formatCode="[$-418]d\ mmmm\ yyyy"/>
    <numFmt numFmtId="205" formatCode="#,##0.0000"/>
    <numFmt numFmtId="206" formatCode="#,##0.00000"/>
    <numFmt numFmtId="207" formatCode="#,##0.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96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34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1" fillId="35" borderId="11" xfId="0" applyNumberFormat="1" applyFont="1" applyFill="1" applyBorder="1" applyAlignment="1">
      <alignment vertical="center" wrapText="1"/>
    </xf>
    <xf numFmtId="198" fontId="1" fillId="0" borderId="11" xfId="0" applyNumberFormat="1" applyFont="1" applyFill="1" applyBorder="1" applyAlignment="1">
      <alignment vertical="center" wrapText="1"/>
    </xf>
    <xf numFmtId="198" fontId="3" fillId="33" borderId="11" xfId="0" applyNumberFormat="1" applyFont="1" applyFill="1" applyBorder="1" applyAlignment="1">
      <alignment vertical="center" wrapText="1"/>
    </xf>
    <xf numFmtId="198" fontId="3" fillId="0" borderId="11" xfId="0" applyNumberFormat="1" applyFont="1" applyBorder="1" applyAlignment="1">
      <alignment vertical="center" wrapText="1"/>
    </xf>
    <xf numFmtId="198" fontId="1" fillId="34" borderId="11" xfId="0" applyNumberFormat="1" applyFont="1" applyFill="1" applyBorder="1" applyAlignment="1">
      <alignment vertical="center" wrapText="1"/>
    </xf>
    <xf numFmtId="198" fontId="3" fillId="33" borderId="11" xfId="0" applyNumberFormat="1" applyFont="1" applyFill="1" applyBorder="1" applyAlignment="1">
      <alignment horizontal="left" vertical="center" wrapText="1" indent="1"/>
    </xf>
    <xf numFmtId="4" fontId="3" fillId="34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vertical="center" wrapText="1"/>
    </xf>
    <xf numFmtId="196" fontId="14" fillId="0" borderId="11" xfId="0" applyNumberFormat="1" applyFont="1" applyFill="1" applyBorder="1" applyAlignment="1">
      <alignment vertical="center" wrapText="1"/>
    </xf>
    <xf numFmtId="198" fontId="14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4" fontId="14" fillId="0" borderId="17" xfId="0" applyNumberFormat="1" applyFont="1" applyFill="1" applyBorder="1" applyAlignment="1">
      <alignment vertical="center" wrapText="1"/>
    </xf>
    <xf numFmtId="2" fontId="14" fillId="0" borderId="17" xfId="0" applyNumberFormat="1" applyFont="1" applyFill="1" applyBorder="1" applyAlignment="1">
      <alignment vertical="center" wrapText="1"/>
    </xf>
    <xf numFmtId="4" fontId="15" fillId="0" borderId="17" xfId="0" applyNumberFormat="1" applyFont="1" applyFill="1" applyBorder="1" applyAlignment="1">
      <alignment vertical="center" wrapText="1"/>
    </xf>
    <xf numFmtId="4" fontId="13" fillId="0" borderId="17" xfId="0" applyNumberFormat="1" applyFont="1" applyFill="1" applyBorder="1" applyAlignment="1">
      <alignment vertical="center" wrapText="1"/>
    </xf>
    <xf numFmtId="4" fontId="13" fillId="0" borderId="18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vertical="center" wrapText="1"/>
    </xf>
    <xf numFmtId="2" fontId="8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198" fontId="13" fillId="0" borderId="17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3" fillId="0" borderId="24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E37"/>
  <sheetViews>
    <sheetView zoomScalePageLayoutView="0" workbookViewId="0" topLeftCell="A1">
      <pane xSplit="20280" topLeftCell="Z1" activePane="topLeft" state="split"/>
      <selection pane="topLeft" activeCell="G14" sqref="G14"/>
      <selection pane="topRight" activeCell="AF25" sqref="AF25"/>
    </sheetView>
  </sheetViews>
  <sheetFormatPr defaultColWidth="9.00390625" defaultRowHeight="12.75"/>
  <cols>
    <col min="1" max="1" width="9.125" style="1" customWidth="1"/>
    <col min="2" max="2" width="9.75390625" style="1" hidden="1" customWidth="1"/>
    <col min="3" max="3" width="10.75390625" style="1" customWidth="1"/>
    <col min="4" max="4" width="10.375" style="1" customWidth="1"/>
    <col min="5" max="5" width="10.75390625" style="1" customWidth="1"/>
    <col min="6" max="6" width="12.00390625" style="1" customWidth="1"/>
    <col min="7" max="7" width="9.375" style="1" bestFit="1" customWidth="1"/>
    <col min="8" max="8" width="9.25390625" style="1" bestFit="1" customWidth="1"/>
    <col min="9" max="9" width="11.25390625" style="1" customWidth="1"/>
    <col min="10" max="11" width="11.25390625" style="1" bestFit="1" customWidth="1"/>
    <col min="12" max="12" width="0" style="1" hidden="1" customWidth="1"/>
    <col min="13" max="13" width="9.375" style="1" customWidth="1"/>
    <col min="14" max="14" width="9.375" style="1" bestFit="1" customWidth="1"/>
    <col min="15" max="15" width="9.625" style="1" bestFit="1" customWidth="1"/>
    <col min="16" max="16" width="10.25390625" style="1" customWidth="1"/>
    <col min="17" max="18" width="9.625" style="1" bestFit="1" customWidth="1"/>
    <col min="19" max="19" width="9.25390625" style="1" customWidth="1"/>
    <col min="20" max="20" width="11.25390625" style="1" bestFit="1" customWidth="1"/>
    <col min="21" max="21" width="14.125" style="1" customWidth="1"/>
    <col min="22" max="22" width="10.375" style="1" hidden="1" customWidth="1"/>
    <col min="23" max="23" width="11.375" style="1" customWidth="1"/>
    <col min="24" max="24" width="9.875" style="1" customWidth="1"/>
    <col min="25" max="25" width="9.875" style="1" bestFit="1" customWidth="1"/>
    <col min="26" max="27" width="11.75390625" style="1" bestFit="1" customWidth="1"/>
    <col min="28" max="28" width="10.75390625" style="1" bestFit="1" customWidth="1"/>
    <col min="29" max="29" width="11.75390625" style="1" bestFit="1" customWidth="1"/>
    <col min="30" max="30" width="11.25390625" style="1" bestFit="1" customWidth="1"/>
    <col min="31" max="31" width="16.25390625" style="1" customWidth="1"/>
    <col min="32" max="16384" width="9.125" style="1" customWidth="1"/>
  </cols>
  <sheetData>
    <row r="8" spans="1:31" ht="12.75" customHeight="1">
      <c r="A8" s="75" t="s">
        <v>0</v>
      </c>
      <c r="B8" s="73" t="s">
        <v>1</v>
      </c>
      <c r="C8" s="79"/>
      <c r="D8" s="79"/>
      <c r="E8" s="79"/>
      <c r="F8" s="79"/>
      <c r="G8" s="8"/>
      <c r="H8" s="82" t="s">
        <v>21</v>
      </c>
      <c r="I8" s="82"/>
      <c r="J8" s="82"/>
      <c r="K8" s="82" t="s">
        <v>20</v>
      </c>
      <c r="L8" s="73" t="s">
        <v>26</v>
      </c>
      <c r="M8" s="79"/>
      <c r="N8" s="79"/>
      <c r="O8" s="79"/>
      <c r="P8" s="79"/>
      <c r="Q8" s="8"/>
      <c r="R8" s="82" t="s">
        <v>21</v>
      </c>
      <c r="S8" s="82"/>
      <c r="T8" s="82"/>
      <c r="U8" s="69" t="s">
        <v>20</v>
      </c>
      <c r="V8" s="73" t="s">
        <v>2</v>
      </c>
      <c r="W8" s="79"/>
      <c r="X8" s="79"/>
      <c r="Y8" s="79"/>
      <c r="Z8" s="79"/>
      <c r="AA8" s="8"/>
      <c r="AB8" s="82" t="s">
        <v>21</v>
      </c>
      <c r="AC8" s="82"/>
      <c r="AD8" s="82"/>
      <c r="AE8" s="82" t="s">
        <v>20</v>
      </c>
    </row>
    <row r="9" spans="1:31" ht="12.75">
      <c r="A9" s="84"/>
      <c r="B9" s="73" t="s">
        <v>3</v>
      </c>
      <c r="C9" s="83"/>
      <c r="D9" s="83"/>
      <c r="E9" s="83"/>
      <c r="F9" s="83"/>
      <c r="G9" s="9"/>
      <c r="H9" s="82"/>
      <c r="I9" s="82"/>
      <c r="J9" s="82"/>
      <c r="K9" s="82"/>
      <c r="L9" s="73" t="s">
        <v>3</v>
      </c>
      <c r="M9" s="83"/>
      <c r="N9" s="83"/>
      <c r="O9" s="83"/>
      <c r="P9" s="83"/>
      <c r="Q9" s="9"/>
      <c r="R9" s="82"/>
      <c r="S9" s="82"/>
      <c r="T9" s="82"/>
      <c r="U9" s="80"/>
      <c r="V9" s="73" t="s">
        <v>3</v>
      </c>
      <c r="W9" s="79"/>
      <c r="X9" s="79"/>
      <c r="Y9" s="79"/>
      <c r="Z9" s="79"/>
      <c r="AA9" s="9"/>
      <c r="AB9" s="82"/>
      <c r="AC9" s="82"/>
      <c r="AD9" s="82"/>
      <c r="AE9" s="82"/>
    </row>
    <row r="10" spans="1:31" ht="12.75">
      <c r="A10" s="84"/>
      <c r="B10" s="75" t="s">
        <v>4</v>
      </c>
      <c r="C10" s="75" t="s">
        <v>6</v>
      </c>
      <c r="D10" s="73" t="s">
        <v>5</v>
      </c>
      <c r="E10" s="79"/>
      <c r="F10" s="74"/>
      <c r="G10" s="75" t="s">
        <v>19</v>
      </c>
      <c r="H10" s="82"/>
      <c r="I10" s="82"/>
      <c r="J10" s="82"/>
      <c r="K10" s="82"/>
      <c r="L10" s="75" t="s">
        <v>6</v>
      </c>
      <c r="M10" s="75" t="s">
        <v>6</v>
      </c>
      <c r="N10" s="73" t="s">
        <v>5</v>
      </c>
      <c r="O10" s="79"/>
      <c r="P10" s="74"/>
      <c r="Q10" s="75" t="s">
        <v>19</v>
      </c>
      <c r="R10" s="82"/>
      <c r="S10" s="82"/>
      <c r="T10" s="82"/>
      <c r="U10" s="80"/>
      <c r="V10" s="75" t="s">
        <v>6</v>
      </c>
      <c r="W10" s="75" t="s">
        <v>6</v>
      </c>
      <c r="X10" s="73" t="s">
        <v>5</v>
      </c>
      <c r="Y10" s="79"/>
      <c r="Z10" s="74"/>
      <c r="AA10" s="75" t="s">
        <v>19</v>
      </c>
      <c r="AB10" s="82"/>
      <c r="AC10" s="82"/>
      <c r="AD10" s="82"/>
      <c r="AE10" s="82"/>
    </row>
    <row r="11" spans="1:31" ht="12.75">
      <c r="A11" s="84"/>
      <c r="B11" s="84"/>
      <c r="C11" s="84"/>
      <c r="D11" s="73" t="s">
        <v>7</v>
      </c>
      <c r="E11" s="74"/>
      <c r="F11" s="75" t="s">
        <v>8</v>
      </c>
      <c r="G11" s="76"/>
      <c r="H11" s="77" t="s">
        <v>7</v>
      </c>
      <c r="I11" s="78"/>
      <c r="J11" s="69" t="s">
        <v>8</v>
      </c>
      <c r="K11" s="82"/>
      <c r="L11" s="84"/>
      <c r="M11" s="84"/>
      <c r="N11" s="73" t="s">
        <v>7</v>
      </c>
      <c r="O11" s="74"/>
      <c r="P11" s="75" t="s">
        <v>8</v>
      </c>
      <c r="Q11" s="76"/>
      <c r="R11" s="67" t="s">
        <v>7</v>
      </c>
      <c r="S11" s="68"/>
      <c r="T11" s="69" t="s">
        <v>8</v>
      </c>
      <c r="U11" s="80"/>
      <c r="V11" s="84"/>
      <c r="W11" s="84"/>
      <c r="X11" s="73" t="s">
        <v>7</v>
      </c>
      <c r="Y11" s="74"/>
      <c r="Z11" s="75" t="s">
        <v>8</v>
      </c>
      <c r="AA11" s="76"/>
      <c r="AB11" s="67" t="s">
        <v>7</v>
      </c>
      <c r="AC11" s="68"/>
      <c r="AD11" s="69" t="s">
        <v>8</v>
      </c>
      <c r="AE11" s="82"/>
    </row>
    <row r="12" spans="1:31" ht="51" customHeight="1">
      <c r="A12" s="76"/>
      <c r="B12" s="76"/>
      <c r="C12" s="76"/>
      <c r="D12" s="2" t="s">
        <v>9</v>
      </c>
      <c r="E12" s="2" t="s">
        <v>10</v>
      </c>
      <c r="F12" s="76"/>
      <c r="G12" s="2" t="s">
        <v>9</v>
      </c>
      <c r="H12" s="10" t="s">
        <v>9</v>
      </c>
      <c r="I12" s="10" t="s">
        <v>10</v>
      </c>
      <c r="J12" s="70"/>
      <c r="K12" s="82"/>
      <c r="L12" s="76"/>
      <c r="M12" s="76"/>
      <c r="N12" s="2" t="s">
        <v>9</v>
      </c>
      <c r="O12" s="2" t="s">
        <v>10</v>
      </c>
      <c r="P12" s="76"/>
      <c r="Q12" s="2" t="s">
        <v>9</v>
      </c>
      <c r="R12" s="10" t="s">
        <v>9</v>
      </c>
      <c r="S12" s="10" t="s">
        <v>10</v>
      </c>
      <c r="T12" s="70"/>
      <c r="U12" s="70"/>
      <c r="V12" s="76"/>
      <c r="W12" s="76"/>
      <c r="X12" s="2" t="s">
        <v>9</v>
      </c>
      <c r="Y12" s="2" t="s">
        <v>10</v>
      </c>
      <c r="Z12" s="76"/>
      <c r="AA12" s="2" t="s">
        <v>9</v>
      </c>
      <c r="AB12" s="10" t="s">
        <v>9</v>
      </c>
      <c r="AC12" s="10" t="s">
        <v>10</v>
      </c>
      <c r="AD12" s="70"/>
      <c r="AE12" s="82"/>
    </row>
    <row r="13" spans="1:31" ht="12.75">
      <c r="A13" s="3"/>
      <c r="B13" s="3"/>
      <c r="C13" s="3"/>
      <c r="D13" s="3"/>
      <c r="E13" s="3"/>
      <c r="F13" s="3"/>
      <c r="G13" s="3"/>
      <c r="H13" s="11"/>
      <c r="I13" s="11"/>
      <c r="J13" s="4"/>
      <c r="K13" s="4"/>
      <c r="L13" s="3"/>
      <c r="M13" s="3"/>
      <c r="N13" s="3"/>
      <c r="O13" s="3"/>
      <c r="P13" s="3"/>
      <c r="Q13" s="3"/>
      <c r="R13" s="11"/>
      <c r="S13" s="11"/>
      <c r="T13" s="4"/>
      <c r="U13" s="5"/>
      <c r="V13" s="3"/>
      <c r="W13" s="3"/>
      <c r="X13" s="3"/>
      <c r="Y13" s="3"/>
      <c r="Z13" s="3"/>
      <c r="AA13" s="3"/>
      <c r="AB13" s="11"/>
      <c r="AC13" s="11"/>
      <c r="AD13" s="4"/>
      <c r="AE13" s="5"/>
    </row>
    <row r="14" spans="1:31" ht="12.75">
      <c r="A14" s="3" t="s">
        <v>11</v>
      </c>
      <c r="B14" s="12">
        <v>1004789.49</v>
      </c>
      <c r="C14" s="14">
        <v>1004789.49</v>
      </c>
      <c r="D14" s="14">
        <f>H14-G14</f>
        <v>461487.88000000006</v>
      </c>
      <c r="E14" s="14">
        <f>I14</f>
        <v>1107757.47</v>
      </c>
      <c r="F14" s="14">
        <f>SUM(D14:E14)</f>
        <v>1569245.35</v>
      </c>
      <c r="G14" s="14">
        <v>337818.8</v>
      </c>
      <c r="H14" s="15">
        <v>799306.68</v>
      </c>
      <c r="I14" s="15">
        <v>1107757.47</v>
      </c>
      <c r="J14" s="16">
        <f>SUM(F14+G14)</f>
        <v>1907064.1500000001</v>
      </c>
      <c r="K14" s="16">
        <f>SUM(C14+J14)</f>
        <v>2911853.64</v>
      </c>
      <c r="M14" s="14">
        <f>C14-1004789.49</f>
        <v>0</v>
      </c>
      <c r="N14" s="14">
        <f>R14-Q14</f>
        <v>0.0400000000372529</v>
      </c>
      <c r="O14" s="14">
        <f>E14-1036088.99</f>
        <v>71668.47999999998</v>
      </c>
      <c r="P14" s="14">
        <f>SUM(N14:O14)</f>
        <v>71668.52000000002</v>
      </c>
      <c r="Q14" s="14">
        <f>G14-326573.09</f>
        <v>11245.709999999963</v>
      </c>
      <c r="R14" s="15">
        <f>H14-788060.93</f>
        <v>11245.75</v>
      </c>
      <c r="S14" s="15">
        <f>O14</f>
        <v>71668.47999999998</v>
      </c>
      <c r="T14" s="16">
        <f>SUM(P14+Q14)</f>
        <v>82914.22999999998</v>
      </c>
      <c r="U14" s="17">
        <f>SUM(M14+T14)</f>
        <v>82914.22999999998</v>
      </c>
      <c r="V14" s="18"/>
      <c r="W14" s="14">
        <v>1327910.72</v>
      </c>
      <c r="X14" s="14">
        <f>AB14-AA14</f>
        <v>408446.12</v>
      </c>
      <c r="Y14" s="14">
        <v>599090.08</v>
      </c>
      <c r="Z14" s="14">
        <f>SUM(X14:Y14)</f>
        <v>1007536.2</v>
      </c>
      <c r="AA14" s="14">
        <v>260209.54</v>
      </c>
      <c r="AB14" s="15">
        <v>668655.66</v>
      </c>
      <c r="AC14" s="15">
        <v>599090.09</v>
      </c>
      <c r="AD14" s="16">
        <f>SUM(Z14+AA14)</f>
        <v>1267745.74</v>
      </c>
      <c r="AE14" s="17">
        <f>SUM(W14+AD14)</f>
        <v>2595656.46</v>
      </c>
    </row>
    <row r="15" spans="1:31" ht="12.75">
      <c r="A15" s="3"/>
      <c r="B15" s="12"/>
      <c r="C15" s="14"/>
      <c r="D15" s="14"/>
      <c r="E15" s="14"/>
      <c r="F15" s="14"/>
      <c r="G15" s="14"/>
      <c r="H15" s="11"/>
      <c r="I15" s="11"/>
      <c r="J15" s="16"/>
      <c r="K15" s="16"/>
      <c r="M15" s="14"/>
      <c r="N15" s="14"/>
      <c r="O15" s="14"/>
      <c r="P15" s="14"/>
      <c r="Q15" s="14"/>
      <c r="R15" s="15"/>
      <c r="S15" s="15"/>
      <c r="T15" s="16"/>
      <c r="U15" s="17"/>
      <c r="V15" s="18"/>
      <c r="W15" s="14"/>
      <c r="X15" s="14"/>
      <c r="Y15" s="14"/>
      <c r="Z15" s="14"/>
      <c r="AA15" s="14"/>
      <c r="AB15" s="15"/>
      <c r="AC15" s="15"/>
      <c r="AD15" s="16"/>
      <c r="AE15" s="17"/>
    </row>
    <row r="16" spans="1:31" ht="12.75">
      <c r="A16" s="3" t="s">
        <v>12</v>
      </c>
      <c r="B16" s="12">
        <v>280664.21</v>
      </c>
      <c r="C16" s="14">
        <v>291493.28</v>
      </c>
      <c r="D16" s="14">
        <f>H16-G16</f>
        <v>26790.460000000003</v>
      </c>
      <c r="E16" s="14">
        <f>I16</f>
        <v>43876.55</v>
      </c>
      <c r="F16" s="14">
        <f>SUM(D16:E16)</f>
        <v>70667.01000000001</v>
      </c>
      <c r="G16" s="14">
        <v>8336.7</v>
      </c>
      <c r="H16" s="15">
        <v>35127.16</v>
      </c>
      <c r="I16" s="15">
        <v>43876.55</v>
      </c>
      <c r="J16" s="16">
        <f>SUM(F16+G16)</f>
        <v>79003.71</v>
      </c>
      <c r="K16" s="16">
        <f>SUM(C16+J16)</f>
        <v>370496.99000000005</v>
      </c>
      <c r="M16" s="14">
        <f>C16-290499.19</f>
        <v>994.0900000000256</v>
      </c>
      <c r="N16" s="14">
        <f>R16-Q16</f>
        <v>41.59000000000469</v>
      </c>
      <c r="O16" s="14">
        <f>E16-39583.77</f>
        <v>4292.780000000006</v>
      </c>
      <c r="P16" s="14">
        <f>SUM(N16:O16)</f>
        <v>4334.370000000011</v>
      </c>
      <c r="Q16" s="14">
        <f>G16-7961.69</f>
        <v>375.0100000000011</v>
      </c>
      <c r="R16" s="15">
        <f>H16-34710.56</f>
        <v>416.6000000000058</v>
      </c>
      <c r="S16" s="15">
        <f>O16</f>
        <v>4292.780000000006</v>
      </c>
      <c r="T16" s="16">
        <f>SUM(P16+Q16)</f>
        <v>4709.380000000012</v>
      </c>
      <c r="U16" s="17">
        <f>SUM(M16+T16)</f>
        <v>5703.4700000000375</v>
      </c>
      <c r="V16" s="18"/>
      <c r="W16" s="14">
        <v>330457.74</v>
      </c>
      <c r="X16" s="14">
        <f>AB16-AA16</f>
        <v>20871.62</v>
      </c>
      <c r="Y16" s="14">
        <v>30794.21</v>
      </c>
      <c r="Z16" s="14">
        <f>SUM(X16:Y16)</f>
        <v>51665.83</v>
      </c>
      <c r="AA16" s="14">
        <v>3271.45</v>
      </c>
      <c r="AB16" s="15">
        <v>24143.07</v>
      </c>
      <c r="AC16" s="15">
        <v>30794.21</v>
      </c>
      <c r="AD16" s="16">
        <f>SUM(Z16+AA16)</f>
        <v>54937.28</v>
      </c>
      <c r="AE16" s="17">
        <f>SUM(W16+AD16)</f>
        <v>385395.02</v>
      </c>
    </row>
    <row r="17" spans="1:31" ht="12.75">
      <c r="A17" s="3"/>
      <c r="B17" s="12"/>
      <c r="C17" s="14"/>
      <c r="D17" s="14"/>
      <c r="E17" s="14"/>
      <c r="F17" s="14"/>
      <c r="G17" s="14"/>
      <c r="H17" s="11"/>
      <c r="I17" s="11"/>
      <c r="J17" s="16"/>
      <c r="K17" s="16"/>
      <c r="M17" s="14"/>
      <c r="N17" s="14"/>
      <c r="O17" s="14"/>
      <c r="P17" s="14"/>
      <c r="Q17" s="14"/>
      <c r="R17" s="15"/>
      <c r="S17" s="15"/>
      <c r="T17" s="16"/>
      <c r="U17" s="17"/>
      <c r="V17" s="18"/>
      <c r="W17" s="14"/>
      <c r="X17" s="14"/>
      <c r="Y17" s="14"/>
      <c r="Z17" s="14"/>
      <c r="AA17" s="14"/>
      <c r="AB17" s="15"/>
      <c r="AC17" s="15"/>
      <c r="AD17" s="16"/>
      <c r="AE17" s="17"/>
    </row>
    <row r="18" spans="1:31" ht="12.75">
      <c r="A18" s="3" t="s">
        <v>13</v>
      </c>
      <c r="B18" s="13">
        <v>9284.75</v>
      </c>
      <c r="C18" s="14">
        <v>10377.07</v>
      </c>
      <c r="D18" s="14">
        <f>H18-G18</f>
        <v>17089.16</v>
      </c>
      <c r="E18" s="14">
        <f>I18</f>
        <v>16308.95</v>
      </c>
      <c r="F18" s="14">
        <f>SUM(D18:E18)</f>
        <v>33398.11</v>
      </c>
      <c r="G18" s="14">
        <v>104.6</v>
      </c>
      <c r="H18" s="15">
        <v>17193.76</v>
      </c>
      <c r="I18" s="15">
        <v>16308.95</v>
      </c>
      <c r="J18" s="16">
        <f>SUM(F18+G18)</f>
        <v>33502.71</v>
      </c>
      <c r="K18" s="16">
        <f>SUM(C18+J18)</f>
        <v>43879.78</v>
      </c>
      <c r="M18" s="14">
        <f>C18-10377.07</f>
        <v>0</v>
      </c>
      <c r="N18" s="14">
        <f>R18-Q18</f>
        <v>-1.4495071809506044E-12</v>
      </c>
      <c r="O18" s="14">
        <f>E18-15654.95</f>
        <v>654</v>
      </c>
      <c r="P18" s="14">
        <f>SUM(N18:O18)</f>
        <v>653.9999999999985</v>
      </c>
      <c r="Q18" s="14">
        <f>G18-0</f>
        <v>104.6</v>
      </c>
      <c r="R18" s="15">
        <f>H18-17089.16</f>
        <v>104.59999999999854</v>
      </c>
      <c r="S18" s="15">
        <f>O18</f>
        <v>654</v>
      </c>
      <c r="T18" s="16">
        <f>SUM(P18+Q18)</f>
        <v>758.5999999999985</v>
      </c>
      <c r="U18" s="17">
        <f>SUM(M18+T18)</f>
        <v>758.5999999999985</v>
      </c>
      <c r="V18" s="18"/>
      <c r="W18" s="14">
        <v>5551.18</v>
      </c>
      <c r="X18" s="14">
        <f>AB18-AA18</f>
        <v>8435.59</v>
      </c>
      <c r="Y18" s="14">
        <v>14384.33</v>
      </c>
      <c r="Z18" s="14">
        <f>SUM(X18:Y18)</f>
        <v>22819.92</v>
      </c>
      <c r="AA18" s="14">
        <v>0</v>
      </c>
      <c r="AB18" s="15">
        <v>8435.59</v>
      </c>
      <c r="AC18" s="15">
        <f>SUM(Y18)</f>
        <v>14384.33</v>
      </c>
      <c r="AD18" s="16">
        <f>SUM(Z18+AA18)</f>
        <v>22819.92</v>
      </c>
      <c r="AE18" s="17">
        <f>SUM(W18+AD18)</f>
        <v>28371.1</v>
      </c>
    </row>
    <row r="19" spans="1:31" ht="12.75">
      <c r="A19" s="3"/>
      <c r="B19" s="12"/>
      <c r="C19" s="14"/>
      <c r="D19" s="14"/>
      <c r="E19" s="14"/>
      <c r="F19" s="14"/>
      <c r="G19" s="14"/>
      <c r="H19" s="11"/>
      <c r="I19" s="11"/>
      <c r="J19" s="16"/>
      <c r="K19" s="16"/>
      <c r="M19" s="14"/>
      <c r="N19" s="14"/>
      <c r="O19" s="14"/>
      <c r="P19" s="14"/>
      <c r="Q19" s="14"/>
      <c r="R19" s="15"/>
      <c r="S19" s="15"/>
      <c r="T19" s="16"/>
      <c r="U19" s="17"/>
      <c r="V19" s="18"/>
      <c r="W19" s="14"/>
      <c r="X19" s="14"/>
      <c r="Y19" s="14"/>
      <c r="Z19" s="14"/>
      <c r="AA19" s="14"/>
      <c r="AB19" s="15"/>
      <c r="AC19" s="15"/>
      <c r="AD19" s="16"/>
      <c r="AE19" s="17"/>
    </row>
    <row r="20" spans="1:31" ht="12.75">
      <c r="A20" s="3" t="s">
        <v>14</v>
      </c>
      <c r="B20" s="13">
        <v>4500</v>
      </c>
      <c r="C20" s="14">
        <v>4500</v>
      </c>
      <c r="D20" s="14"/>
      <c r="E20" s="14"/>
      <c r="F20" s="14">
        <v>0</v>
      </c>
      <c r="G20" s="14"/>
      <c r="H20" s="11"/>
      <c r="I20" s="11"/>
      <c r="J20" s="16">
        <f>SUM(E20)</f>
        <v>0</v>
      </c>
      <c r="K20" s="16">
        <f>SUM(C20+J20)</f>
        <v>4500</v>
      </c>
      <c r="M20" s="19"/>
      <c r="N20" s="19"/>
      <c r="O20" s="19"/>
      <c r="P20" s="19"/>
      <c r="Q20" s="19"/>
      <c r="R20" s="15"/>
      <c r="S20" s="15"/>
      <c r="T20" s="16">
        <f>SUM(O20)</f>
        <v>0</v>
      </c>
      <c r="U20" s="17">
        <f>SUM(M20+T20)</f>
        <v>0</v>
      </c>
      <c r="V20" s="18"/>
      <c r="W20" s="14">
        <v>4500</v>
      </c>
      <c r="X20" s="14"/>
      <c r="Y20" s="14"/>
      <c r="Z20" s="14"/>
      <c r="AA20" s="14"/>
      <c r="AB20" s="15"/>
      <c r="AC20" s="15"/>
      <c r="AD20" s="16">
        <f>SUM(Y20)</f>
        <v>0</v>
      </c>
      <c r="AE20" s="17">
        <f>SUM(W20+AD20)</f>
        <v>4500</v>
      </c>
    </row>
    <row r="22" spans="23:27" ht="12.75">
      <c r="W22" s="6"/>
      <c r="X22" s="6">
        <v>11.813</v>
      </c>
      <c r="Y22" s="7" t="s">
        <v>15</v>
      </c>
      <c r="Z22" s="1">
        <v>15.6835</v>
      </c>
      <c r="AA22" s="1" t="s">
        <v>16</v>
      </c>
    </row>
    <row r="23" spans="1:31" ht="12.75" customHeight="1">
      <c r="A23" s="75" t="s">
        <v>0</v>
      </c>
      <c r="B23" s="73" t="s">
        <v>28</v>
      </c>
      <c r="C23" s="79"/>
      <c r="D23" s="79"/>
      <c r="E23" s="79"/>
      <c r="F23" s="79"/>
      <c r="G23" s="8"/>
      <c r="H23" s="82" t="s">
        <v>21</v>
      </c>
      <c r="I23" s="82"/>
      <c r="J23" s="82"/>
      <c r="K23" s="82" t="s">
        <v>20</v>
      </c>
      <c r="L23" s="73" t="s">
        <v>17</v>
      </c>
      <c r="M23" s="79"/>
      <c r="N23" s="79"/>
      <c r="O23" s="79"/>
      <c r="P23" s="79"/>
      <c r="Q23" s="8"/>
      <c r="R23" s="82" t="s">
        <v>21</v>
      </c>
      <c r="S23" s="82"/>
      <c r="T23" s="82"/>
      <c r="U23" s="69" t="s">
        <v>20</v>
      </c>
      <c r="V23" s="67" t="s">
        <v>27</v>
      </c>
      <c r="W23" s="81"/>
      <c r="X23" s="81"/>
      <c r="Y23" s="81"/>
      <c r="Z23" s="81"/>
      <c r="AA23" s="8"/>
      <c r="AB23" s="82" t="s">
        <v>21</v>
      </c>
      <c r="AC23" s="82"/>
      <c r="AD23" s="82"/>
      <c r="AE23" s="82" t="s">
        <v>20</v>
      </c>
    </row>
    <row r="24" spans="1:31" ht="12.75">
      <c r="A24" s="84"/>
      <c r="B24" s="73" t="s">
        <v>3</v>
      </c>
      <c r="C24" s="83"/>
      <c r="D24" s="83"/>
      <c r="E24" s="83"/>
      <c r="F24" s="83"/>
      <c r="G24" s="9"/>
      <c r="H24" s="82"/>
      <c r="I24" s="82"/>
      <c r="J24" s="82"/>
      <c r="K24" s="82"/>
      <c r="L24" s="73" t="s">
        <v>3</v>
      </c>
      <c r="M24" s="83"/>
      <c r="N24" s="83"/>
      <c r="O24" s="83"/>
      <c r="P24" s="83"/>
      <c r="Q24" s="9"/>
      <c r="R24" s="82"/>
      <c r="S24" s="82"/>
      <c r="T24" s="82"/>
      <c r="U24" s="80"/>
      <c r="V24" s="73" t="s">
        <v>3</v>
      </c>
      <c r="W24" s="79"/>
      <c r="X24" s="79"/>
      <c r="Y24" s="79"/>
      <c r="Z24" s="79"/>
      <c r="AA24" s="9"/>
      <c r="AB24" s="82"/>
      <c r="AC24" s="82"/>
      <c r="AD24" s="82"/>
      <c r="AE24" s="82"/>
    </row>
    <row r="25" spans="1:31" ht="12.75">
      <c r="A25" s="84"/>
      <c r="B25" s="75" t="s">
        <v>6</v>
      </c>
      <c r="C25" s="75" t="s">
        <v>22</v>
      </c>
      <c r="D25" s="73" t="s">
        <v>5</v>
      </c>
      <c r="E25" s="79"/>
      <c r="F25" s="74"/>
      <c r="G25" s="75" t="s">
        <v>19</v>
      </c>
      <c r="H25" s="82"/>
      <c r="I25" s="82"/>
      <c r="J25" s="82"/>
      <c r="K25" s="82"/>
      <c r="L25" s="75" t="s">
        <v>6</v>
      </c>
      <c r="M25" s="75" t="s">
        <v>6</v>
      </c>
      <c r="N25" s="73" t="s">
        <v>5</v>
      </c>
      <c r="O25" s="79"/>
      <c r="P25" s="74"/>
      <c r="Q25" s="75" t="s">
        <v>19</v>
      </c>
      <c r="R25" s="82"/>
      <c r="S25" s="82"/>
      <c r="T25" s="82"/>
      <c r="U25" s="80"/>
      <c r="V25" s="75" t="s">
        <v>6</v>
      </c>
      <c r="W25" s="75" t="s">
        <v>22</v>
      </c>
      <c r="X25" s="73" t="s">
        <v>5</v>
      </c>
      <c r="Y25" s="79"/>
      <c r="Z25" s="74"/>
      <c r="AA25" s="75" t="s">
        <v>19</v>
      </c>
      <c r="AB25" s="82"/>
      <c r="AC25" s="82"/>
      <c r="AD25" s="82"/>
      <c r="AE25" s="82"/>
    </row>
    <row r="26" spans="1:31" ht="12.75">
      <c r="A26" s="84"/>
      <c r="B26" s="84"/>
      <c r="C26" s="84"/>
      <c r="D26" s="73" t="s">
        <v>7</v>
      </c>
      <c r="E26" s="74"/>
      <c r="F26" s="75" t="s">
        <v>8</v>
      </c>
      <c r="G26" s="76"/>
      <c r="H26" s="77" t="s">
        <v>7</v>
      </c>
      <c r="I26" s="78"/>
      <c r="J26" s="69" t="s">
        <v>8</v>
      </c>
      <c r="K26" s="82"/>
      <c r="L26" s="84"/>
      <c r="M26" s="84"/>
      <c r="N26" s="73" t="s">
        <v>7</v>
      </c>
      <c r="O26" s="74"/>
      <c r="P26" s="75" t="s">
        <v>8</v>
      </c>
      <c r="Q26" s="76"/>
      <c r="R26" s="67" t="s">
        <v>7</v>
      </c>
      <c r="S26" s="68"/>
      <c r="T26" s="69" t="s">
        <v>8</v>
      </c>
      <c r="U26" s="80"/>
      <c r="V26" s="84"/>
      <c r="W26" s="84"/>
      <c r="X26" s="73" t="s">
        <v>7</v>
      </c>
      <c r="Y26" s="74"/>
      <c r="Z26" s="75" t="s">
        <v>8</v>
      </c>
      <c r="AA26" s="76"/>
      <c r="AB26" s="67" t="s">
        <v>7</v>
      </c>
      <c r="AC26" s="68"/>
      <c r="AD26" s="69" t="s">
        <v>8</v>
      </c>
      <c r="AE26" s="82"/>
    </row>
    <row r="27" spans="1:31" ht="25.5">
      <c r="A27" s="76"/>
      <c r="B27" s="76"/>
      <c r="C27" s="76"/>
      <c r="D27" s="2" t="s">
        <v>9</v>
      </c>
      <c r="E27" s="2" t="s">
        <v>10</v>
      </c>
      <c r="F27" s="76"/>
      <c r="G27" s="2" t="s">
        <v>9</v>
      </c>
      <c r="H27" s="10" t="s">
        <v>9</v>
      </c>
      <c r="I27" s="10" t="s">
        <v>10</v>
      </c>
      <c r="J27" s="70"/>
      <c r="K27" s="82"/>
      <c r="L27" s="76"/>
      <c r="M27" s="76"/>
      <c r="N27" s="2" t="s">
        <v>9</v>
      </c>
      <c r="O27" s="2" t="s">
        <v>10</v>
      </c>
      <c r="P27" s="76"/>
      <c r="Q27" s="2" t="s">
        <v>9</v>
      </c>
      <c r="R27" s="10" t="s">
        <v>9</v>
      </c>
      <c r="S27" s="10" t="s">
        <v>10</v>
      </c>
      <c r="T27" s="70"/>
      <c r="U27" s="70"/>
      <c r="V27" s="76"/>
      <c r="W27" s="76"/>
      <c r="X27" s="2" t="s">
        <v>9</v>
      </c>
      <c r="Y27" s="2" t="s">
        <v>10</v>
      </c>
      <c r="Z27" s="76"/>
      <c r="AA27" s="2" t="s">
        <v>9</v>
      </c>
      <c r="AB27" s="10" t="s">
        <v>9</v>
      </c>
      <c r="AC27" s="10" t="s">
        <v>10</v>
      </c>
      <c r="AD27" s="70"/>
      <c r="AE27" s="82"/>
    </row>
    <row r="28" spans="1:31" ht="12.75">
      <c r="A28" s="3"/>
      <c r="B28" s="3"/>
      <c r="C28" s="3"/>
      <c r="D28" s="3"/>
      <c r="E28" s="3"/>
      <c r="F28" s="3"/>
      <c r="G28" s="3"/>
      <c r="H28" s="11"/>
      <c r="I28" s="11"/>
      <c r="J28" s="5"/>
      <c r="K28" s="5"/>
      <c r="L28" s="3"/>
      <c r="M28" s="3"/>
      <c r="N28" s="3"/>
      <c r="O28" s="3"/>
      <c r="P28" s="3"/>
      <c r="Q28" s="3"/>
      <c r="R28" s="11"/>
      <c r="S28" s="11"/>
      <c r="T28" s="5"/>
      <c r="U28" s="5"/>
      <c r="V28" s="3"/>
      <c r="W28" s="3"/>
      <c r="X28" s="3"/>
      <c r="Y28" s="3"/>
      <c r="Z28" s="3"/>
      <c r="AA28" s="3"/>
      <c r="AB28" s="11"/>
      <c r="AC28" s="11"/>
      <c r="AD28" s="5"/>
      <c r="AE28" s="5"/>
    </row>
    <row r="29" spans="1:31" ht="12.75">
      <c r="A29" s="3" t="s">
        <v>11</v>
      </c>
      <c r="B29" s="12">
        <f>W14-1248437.65</f>
        <v>79473.07000000007</v>
      </c>
      <c r="C29" s="14">
        <f>W14-1324988.9</f>
        <v>2921.820000000065</v>
      </c>
      <c r="D29" s="14">
        <f>H29-G29</f>
        <v>28638.22</v>
      </c>
      <c r="E29" s="14">
        <f>Y14-565083.16</f>
        <v>34006.919999999925</v>
      </c>
      <c r="F29" s="14">
        <f>SUM(D29:E29)</f>
        <v>62645.13999999993</v>
      </c>
      <c r="G29" s="14">
        <f>AA14-227573.11</f>
        <v>32636.430000000022</v>
      </c>
      <c r="H29" s="15">
        <f>AB14-607381.01</f>
        <v>61274.65000000002</v>
      </c>
      <c r="I29" s="15">
        <f>E29</f>
        <v>34006.919999999925</v>
      </c>
      <c r="J29" s="17">
        <f>SUM(F29+G29)</f>
        <v>95281.56999999995</v>
      </c>
      <c r="K29" s="17">
        <f>SUM(C29+J29)</f>
        <v>98203.39000000001</v>
      </c>
      <c r="L29" s="14">
        <v>428694.72</v>
      </c>
      <c r="M29" s="14">
        <v>352772.13</v>
      </c>
      <c r="N29" s="14">
        <f>R29-Q29</f>
        <v>242119.93</v>
      </c>
      <c r="O29" s="14">
        <v>729407.91</v>
      </c>
      <c r="P29" s="14">
        <f>SUM(N29:O29)</f>
        <v>971527.8400000001</v>
      </c>
      <c r="Q29" s="14">
        <v>149965.26</v>
      </c>
      <c r="R29" s="15">
        <v>392085.19</v>
      </c>
      <c r="S29" s="15">
        <f>SUM(O29)</f>
        <v>729407.91</v>
      </c>
      <c r="T29" s="17">
        <f>SUM(P29+Q29)</f>
        <v>1121493.1</v>
      </c>
      <c r="U29" s="17">
        <f>SUM(M29+T29)</f>
        <v>1474265.23</v>
      </c>
      <c r="V29" s="18"/>
      <c r="W29" s="14">
        <f>M29</f>
        <v>352772.13</v>
      </c>
      <c r="X29" s="14">
        <f>AB29-AA29</f>
        <v>242119.93</v>
      </c>
      <c r="Y29" s="14">
        <f>O29</f>
        <v>729407.91</v>
      </c>
      <c r="Z29" s="14">
        <f>SUM(X29:Y29)</f>
        <v>971527.8400000001</v>
      </c>
      <c r="AA29" s="14">
        <f>Q29</f>
        <v>149965.26</v>
      </c>
      <c r="AB29" s="15">
        <f>R29</f>
        <v>392085.19</v>
      </c>
      <c r="AC29" s="15">
        <f>SUM(Y29)</f>
        <v>729407.91</v>
      </c>
      <c r="AD29" s="17">
        <f>SUM(Z29+AA29)</f>
        <v>1121493.1</v>
      </c>
      <c r="AE29" s="17">
        <f>SUM(W29+AD29)</f>
        <v>1474265.23</v>
      </c>
    </row>
    <row r="30" spans="1:31" ht="12.75">
      <c r="A30" s="3"/>
      <c r="B30" s="12"/>
      <c r="C30" s="14"/>
      <c r="D30" s="14"/>
      <c r="E30" s="14"/>
      <c r="F30" s="14"/>
      <c r="G30" s="14"/>
      <c r="H30" s="15"/>
      <c r="I30" s="15"/>
      <c r="J30" s="17"/>
      <c r="K30" s="17"/>
      <c r="L30" s="14"/>
      <c r="M30" s="14"/>
      <c r="N30" s="14"/>
      <c r="O30" s="14"/>
      <c r="P30" s="14"/>
      <c r="Q30" s="14"/>
      <c r="R30" s="15"/>
      <c r="S30" s="15"/>
      <c r="T30" s="17"/>
      <c r="U30" s="17"/>
      <c r="V30" s="18"/>
      <c r="W30" s="14"/>
      <c r="X30" s="14"/>
      <c r="Y30" s="14"/>
      <c r="Z30" s="14"/>
      <c r="AA30" s="14"/>
      <c r="AB30" s="15"/>
      <c r="AC30" s="15"/>
      <c r="AD30" s="17"/>
      <c r="AE30" s="17"/>
    </row>
    <row r="31" spans="1:31" ht="12.75">
      <c r="A31" s="3" t="s">
        <v>12</v>
      </c>
      <c r="B31" s="13">
        <f>W16-316428.29</f>
        <v>14029.450000000012</v>
      </c>
      <c r="C31" s="14">
        <f>W16-328444.12</f>
        <v>2013.6199999999953</v>
      </c>
      <c r="D31" s="14">
        <f>H31-G31</f>
        <v>23.619999999998527</v>
      </c>
      <c r="E31" s="14">
        <f>Y16-30696.15</f>
        <v>98.05999999999767</v>
      </c>
      <c r="F31" s="14">
        <f>SUM(D31:E31)</f>
        <v>121.6799999999962</v>
      </c>
      <c r="G31" s="14">
        <f>AA16-2523.9</f>
        <v>747.5499999999997</v>
      </c>
      <c r="H31" s="15">
        <f>AB16-23371.9</f>
        <v>771.1699999999983</v>
      </c>
      <c r="I31" s="15">
        <f>E31</f>
        <v>98.05999999999767</v>
      </c>
      <c r="J31" s="17">
        <f>SUM(F31+G31)</f>
        <v>869.2299999999959</v>
      </c>
      <c r="K31" s="17">
        <f>SUM(C31+J31)</f>
        <v>2882.8499999999913</v>
      </c>
      <c r="L31" s="14">
        <v>66278.45</v>
      </c>
      <c r="M31" s="14">
        <v>68997.25</v>
      </c>
      <c r="N31" s="14">
        <f>R31-Q31</f>
        <v>8011.570000000001</v>
      </c>
      <c r="O31" s="14">
        <v>15819.85</v>
      </c>
      <c r="P31" s="14">
        <f>SUM(N31:O31)</f>
        <v>23831.420000000002</v>
      </c>
      <c r="Q31" s="14">
        <v>5423.22</v>
      </c>
      <c r="R31" s="15">
        <v>13434.79</v>
      </c>
      <c r="S31" s="15">
        <f>SUM(O31)</f>
        <v>15819.85</v>
      </c>
      <c r="T31" s="17">
        <f>SUM(P31+Q31)</f>
        <v>29254.640000000003</v>
      </c>
      <c r="U31" s="17">
        <f>SUM(M31+T31)</f>
        <v>98251.89</v>
      </c>
      <c r="V31" s="18"/>
      <c r="W31" s="14">
        <f>M31*X22</f>
        <v>815064.51425</v>
      </c>
      <c r="X31" s="14">
        <f>AB31-AA31</f>
        <v>94640.67641000001</v>
      </c>
      <c r="Y31" s="14">
        <f>O31*X22</f>
        <v>186879.88805</v>
      </c>
      <c r="Z31" s="14">
        <f>SUM(X31:Y31)</f>
        <v>281520.56446</v>
      </c>
      <c r="AA31" s="22">
        <f>Q31*X22</f>
        <v>64064.49786</v>
      </c>
      <c r="AB31" s="15">
        <f>R31*X22</f>
        <v>158705.17427000002</v>
      </c>
      <c r="AC31" s="15">
        <f>SUM(Y31)</f>
        <v>186879.88805</v>
      </c>
      <c r="AD31" s="17">
        <f>SUM(Z31+AA31)</f>
        <v>345585.06232</v>
      </c>
      <c r="AE31" s="29">
        <f>SUM(W31+AD31)</f>
        <v>1160649.57657</v>
      </c>
    </row>
    <row r="32" spans="1:31" ht="12.75">
      <c r="A32" s="3"/>
      <c r="B32" s="12"/>
      <c r="C32" s="14"/>
      <c r="D32" s="14"/>
      <c r="E32" s="14"/>
      <c r="F32" s="14"/>
      <c r="G32" s="14"/>
      <c r="H32" s="15"/>
      <c r="I32" s="15"/>
      <c r="J32" s="17"/>
      <c r="K32" s="17"/>
      <c r="L32" s="14"/>
      <c r="M32" s="14"/>
      <c r="N32" s="14"/>
      <c r="O32" s="14"/>
      <c r="P32" s="14"/>
      <c r="Q32" s="14"/>
      <c r="R32" s="15"/>
      <c r="S32" s="15"/>
      <c r="T32" s="17"/>
      <c r="U32" s="17"/>
      <c r="V32" s="18"/>
      <c r="W32" s="14"/>
      <c r="X32" s="14"/>
      <c r="Y32" s="14"/>
      <c r="Z32" s="14"/>
      <c r="AA32" s="14"/>
      <c r="AB32" s="15"/>
      <c r="AC32" s="15"/>
      <c r="AD32" s="17"/>
      <c r="AE32" s="17"/>
    </row>
    <row r="33" spans="1:31" ht="12.75">
      <c r="A33" s="3" t="s">
        <v>13</v>
      </c>
      <c r="B33" s="12">
        <f>W18-1153.8</f>
        <v>4397.38</v>
      </c>
      <c r="C33" s="14">
        <f>W18-5541.18</f>
        <v>10</v>
      </c>
      <c r="D33" s="22">
        <f>H33-G33</f>
        <v>50.97999999999956</v>
      </c>
      <c r="E33" s="14">
        <f>Y18-14367.66</f>
        <v>16.670000000000073</v>
      </c>
      <c r="F33" s="14">
        <f>SUM(D33:E33)</f>
        <v>67.64999999999964</v>
      </c>
      <c r="G33" s="14">
        <v>0</v>
      </c>
      <c r="H33" s="25">
        <f>AB18-8384.61</f>
        <v>50.97999999999956</v>
      </c>
      <c r="I33" s="15">
        <f>E33</f>
        <v>16.670000000000073</v>
      </c>
      <c r="J33" s="17">
        <f>SUM(F33+G33)</f>
        <v>67.64999999999964</v>
      </c>
      <c r="K33" s="17">
        <f>SUM(C33+J33)</f>
        <v>77.64999999999964</v>
      </c>
      <c r="L33" s="14">
        <v>7796.75</v>
      </c>
      <c r="M33" s="14">
        <v>5576.24</v>
      </c>
      <c r="N33" s="14">
        <f>R33-Q33</f>
        <v>9369.35</v>
      </c>
      <c r="O33" s="14">
        <v>3195.39</v>
      </c>
      <c r="P33" s="14">
        <f>N33+O33</f>
        <v>12564.74</v>
      </c>
      <c r="Q33" s="14">
        <v>104.6</v>
      </c>
      <c r="R33" s="15">
        <v>9473.95</v>
      </c>
      <c r="S33" s="15">
        <f>SUM(O33)</f>
        <v>3195.39</v>
      </c>
      <c r="T33" s="17">
        <f>SUM(P33+Q33)</f>
        <v>12669.34</v>
      </c>
      <c r="U33" s="17">
        <f>SUM(M33+T33)</f>
        <v>18245.58</v>
      </c>
      <c r="V33" s="18"/>
      <c r="W33" s="22">
        <f>M33*Z22</f>
        <v>87454.96004</v>
      </c>
      <c r="X33" s="14">
        <f>AB33-AA33</f>
        <v>148584.694825</v>
      </c>
      <c r="Y33" s="22">
        <f>O33*Z22</f>
        <v>50114.899065</v>
      </c>
      <c r="Z33" s="14">
        <f>SUM(X33:Y33)</f>
        <v>198699.59389000002</v>
      </c>
      <c r="AA33" s="14">
        <v>0</v>
      </c>
      <c r="AB33" s="15">
        <f>R33*Z22</f>
        <v>148584.694825</v>
      </c>
      <c r="AC33" s="15">
        <f>Y33</f>
        <v>50114.899065</v>
      </c>
      <c r="AD33" s="17">
        <f>SUM(Z33+AA33)</f>
        <v>198699.59389000002</v>
      </c>
      <c r="AE33" s="17">
        <f>SUM(W33+AD33)</f>
        <v>286154.55393000005</v>
      </c>
    </row>
    <row r="34" spans="1:31" ht="12.75">
      <c r="A34" s="3"/>
      <c r="B34" s="3"/>
      <c r="C34" s="19"/>
      <c r="D34" s="19"/>
      <c r="E34" s="19"/>
      <c r="F34" s="19"/>
      <c r="G34" s="19"/>
      <c r="H34" s="15"/>
      <c r="I34" s="15"/>
      <c r="J34" s="17"/>
      <c r="K34" s="17"/>
      <c r="L34" s="14"/>
      <c r="M34" s="14"/>
      <c r="N34" s="14"/>
      <c r="O34" s="14"/>
      <c r="P34" s="14"/>
      <c r="Q34" s="14"/>
      <c r="R34" s="15"/>
      <c r="S34" s="15"/>
      <c r="T34" s="17"/>
      <c r="U34" s="17"/>
      <c r="V34" s="14"/>
      <c r="W34" s="14"/>
      <c r="X34" s="14"/>
      <c r="Y34" s="14"/>
      <c r="Z34" s="14"/>
      <c r="AA34" s="14"/>
      <c r="AB34" s="15"/>
      <c r="AC34" s="15"/>
      <c r="AD34" s="17"/>
      <c r="AE34" s="17"/>
    </row>
    <row r="35" spans="1:31" ht="12.75">
      <c r="A35" s="3" t="s">
        <v>14</v>
      </c>
      <c r="B35" s="3"/>
      <c r="C35" s="19">
        <f>SUM(B35:B35)</f>
        <v>0</v>
      </c>
      <c r="D35" s="19"/>
      <c r="E35" s="19"/>
      <c r="F35" s="19"/>
      <c r="G35" s="19"/>
      <c r="H35" s="15"/>
      <c r="I35" s="15"/>
      <c r="J35" s="17">
        <f>SUM(E35)</f>
        <v>0</v>
      </c>
      <c r="K35" s="17">
        <f>SUM(C35+F35)</f>
        <v>0</v>
      </c>
      <c r="L35" s="14"/>
      <c r="M35" s="14">
        <f>SUM(L35:L35)</f>
        <v>0</v>
      </c>
      <c r="N35" s="14"/>
      <c r="O35" s="14"/>
      <c r="P35" s="14"/>
      <c r="Q35" s="14"/>
      <c r="R35" s="15"/>
      <c r="S35" s="15"/>
      <c r="T35" s="17">
        <f>SUM(O35)</f>
        <v>0</v>
      </c>
      <c r="U35" s="17">
        <f>SUM(L35:P35)</f>
        <v>0</v>
      </c>
      <c r="V35" s="14"/>
      <c r="W35" s="14"/>
      <c r="X35" s="14"/>
      <c r="Y35" s="14"/>
      <c r="Z35" s="14"/>
      <c r="AA35" s="14"/>
      <c r="AB35" s="15"/>
      <c r="AC35" s="15"/>
      <c r="AD35" s="17">
        <f>SUM(Y35)</f>
        <v>0</v>
      </c>
      <c r="AE35" s="17">
        <f>SUM(V35:Z35)</f>
        <v>0</v>
      </c>
    </row>
    <row r="36" spans="15:31" ht="12.75"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9"/>
      <c r="AA36" s="19"/>
      <c r="AB36" s="21"/>
      <c r="AC36" s="21"/>
      <c r="AD36" s="19"/>
      <c r="AE36" s="19"/>
    </row>
    <row r="37" spans="15:31" ht="12.75">
      <c r="O37" s="71" t="s">
        <v>18</v>
      </c>
      <c r="P37" s="71"/>
      <c r="Q37" s="71"/>
      <c r="R37" s="71"/>
      <c r="S37" s="71"/>
      <c r="T37" s="71"/>
      <c r="U37" s="72"/>
      <c r="V37" s="20"/>
      <c r="W37" s="24">
        <f aca="true" t="shared" si="0" ref="W37:AE37">SUM(W29:W35)</f>
        <v>1255291.60429</v>
      </c>
      <c r="X37" s="20">
        <f t="shared" si="0"/>
        <v>485345.301235</v>
      </c>
      <c r="Y37" s="20">
        <f t="shared" si="0"/>
        <v>966402.6971150001</v>
      </c>
      <c r="Z37" s="20">
        <f t="shared" si="0"/>
        <v>1451747.99835</v>
      </c>
      <c r="AA37" s="24">
        <f t="shared" si="0"/>
        <v>214029.75786</v>
      </c>
      <c r="AB37" s="24">
        <f>AB29+AB31+AB33</f>
        <v>699375.059095</v>
      </c>
      <c r="AC37" s="28">
        <f t="shared" si="0"/>
        <v>966402.6971150001</v>
      </c>
      <c r="AD37" s="24">
        <f t="shared" si="0"/>
        <v>1665777.7562100003</v>
      </c>
      <c r="AE37" s="27">
        <f t="shared" si="0"/>
        <v>2921069.3605</v>
      </c>
    </row>
  </sheetData>
  <sheetProtection/>
  <mergeCells count="75">
    <mergeCell ref="A8:A12"/>
    <mergeCell ref="B8:F8"/>
    <mergeCell ref="H8:J10"/>
    <mergeCell ref="K8:K12"/>
    <mergeCell ref="L8:P8"/>
    <mergeCell ref="R8:T10"/>
    <mergeCell ref="G10:G11"/>
    <mergeCell ref="L10:L12"/>
    <mergeCell ref="M10:M12"/>
    <mergeCell ref="N10:P10"/>
    <mergeCell ref="AE8:AE12"/>
    <mergeCell ref="B9:F9"/>
    <mergeCell ref="L9:P9"/>
    <mergeCell ref="V9:Z9"/>
    <mergeCell ref="B10:B12"/>
    <mergeCell ref="C10:C12"/>
    <mergeCell ref="D10:F10"/>
    <mergeCell ref="AA10:AA11"/>
    <mergeCell ref="D11:E11"/>
    <mergeCell ref="F11:F12"/>
    <mergeCell ref="H11:I11"/>
    <mergeCell ref="J11:J12"/>
    <mergeCell ref="N11:O11"/>
    <mergeCell ref="U8:U12"/>
    <mergeCell ref="V8:Z8"/>
    <mergeCell ref="P11:P12"/>
    <mergeCell ref="R11:S11"/>
    <mergeCell ref="T11:T12"/>
    <mergeCell ref="X11:Y11"/>
    <mergeCell ref="Z11:Z12"/>
    <mergeCell ref="AB11:AC11"/>
    <mergeCell ref="Q10:Q11"/>
    <mergeCell ref="V10:V12"/>
    <mergeCell ref="W10:W12"/>
    <mergeCell ref="X10:Z10"/>
    <mergeCell ref="AB8:AD10"/>
    <mergeCell ref="AD11:AD12"/>
    <mergeCell ref="A23:A27"/>
    <mergeCell ref="B23:F23"/>
    <mergeCell ref="H23:J25"/>
    <mergeCell ref="K23:K27"/>
    <mergeCell ref="L23:P23"/>
    <mergeCell ref="R23:T25"/>
    <mergeCell ref="G25:G26"/>
    <mergeCell ref="L25:L27"/>
    <mergeCell ref="M25:M27"/>
    <mergeCell ref="N25:P25"/>
    <mergeCell ref="AB23:AD25"/>
    <mergeCell ref="AE23:AE27"/>
    <mergeCell ref="B24:F24"/>
    <mergeCell ref="L24:P24"/>
    <mergeCell ref="V24:Z24"/>
    <mergeCell ref="B25:B27"/>
    <mergeCell ref="C25:C27"/>
    <mergeCell ref="D25:F25"/>
    <mergeCell ref="V25:V27"/>
    <mergeCell ref="W25:W27"/>
    <mergeCell ref="X25:Z25"/>
    <mergeCell ref="AA25:AA26"/>
    <mergeCell ref="R26:S26"/>
    <mergeCell ref="T26:T27"/>
    <mergeCell ref="X26:Y26"/>
    <mergeCell ref="Z26:Z27"/>
    <mergeCell ref="U23:U27"/>
    <mergeCell ref="V23:Z23"/>
    <mergeCell ref="AB26:AC26"/>
    <mergeCell ref="AD26:AD27"/>
    <mergeCell ref="O37:U37"/>
    <mergeCell ref="D26:E26"/>
    <mergeCell ref="F26:F27"/>
    <mergeCell ref="H26:I26"/>
    <mergeCell ref="J26:J27"/>
    <mergeCell ref="N26:O26"/>
    <mergeCell ref="P26:P27"/>
    <mergeCell ref="Q25:Q26"/>
  </mergeCells>
  <printOptions/>
  <pageMargins left="0" right="0" top="0.7480314960629921" bottom="0.7480314960629921" header="0.31496062992125984" footer="0.31496062992125984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E37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9.125" style="1" customWidth="1"/>
    <col min="2" max="2" width="9.75390625" style="1" hidden="1" customWidth="1"/>
    <col min="3" max="3" width="10.75390625" style="1" customWidth="1"/>
    <col min="4" max="4" width="9.375" style="1" bestFit="1" customWidth="1"/>
    <col min="5" max="5" width="10.125" style="1" customWidth="1"/>
    <col min="6" max="6" width="10.375" style="1" customWidth="1"/>
    <col min="7" max="7" width="9.375" style="1" bestFit="1" customWidth="1"/>
    <col min="8" max="8" width="9.25390625" style="1" bestFit="1" customWidth="1"/>
    <col min="9" max="9" width="10.375" style="1" bestFit="1" customWidth="1"/>
    <col min="10" max="11" width="11.25390625" style="1" bestFit="1" customWidth="1"/>
    <col min="12" max="12" width="0" style="1" hidden="1" customWidth="1"/>
    <col min="13" max="13" width="9.375" style="1" customWidth="1"/>
    <col min="14" max="14" width="9.375" style="1" bestFit="1" customWidth="1"/>
    <col min="15" max="15" width="9.625" style="1" bestFit="1" customWidth="1"/>
    <col min="16" max="16" width="10.25390625" style="1" customWidth="1"/>
    <col min="17" max="18" width="9.625" style="1" bestFit="1" customWidth="1"/>
    <col min="19" max="19" width="9.25390625" style="1" customWidth="1"/>
    <col min="20" max="20" width="11.25390625" style="1" bestFit="1" customWidth="1"/>
    <col min="21" max="21" width="14.125" style="1" customWidth="1"/>
    <col min="22" max="22" width="10.375" style="1" hidden="1" customWidth="1"/>
    <col min="23" max="23" width="11.375" style="1" customWidth="1"/>
    <col min="24" max="24" width="9.875" style="1" customWidth="1"/>
    <col min="25" max="25" width="9.875" style="1" bestFit="1" customWidth="1"/>
    <col min="26" max="27" width="11.75390625" style="1" bestFit="1" customWidth="1"/>
    <col min="28" max="28" width="10.75390625" style="1" bestFit="1" customWidth="1"/>
    <col min="29" max="29" width="11.75390625" style="1" bestFit="1" customWidth="1"/>
    <col min="30" max="30" width="11.25390625" style="1" bestFit="1" customWidth="1"/>
    <col min="31" max="31" width="11.875" style="1" customWidth="1"/>
    <col min="32" max="16384" width="9.125" style="1" customWidth="1"/>
  </cols>
  <sheetData>
    <row r="8" spans="1:31" ht="12.75" customHeight="1">
      <c r="A8" s="75" t="s">
        <v>0</v>
      </c>
      <c r="B8" s="73" t="s">
        <v>1</v>
      </c>
      <c r="C8" s="79"/>
      <c r="D8" s="79"/>
      <c r="E8" s="79"/>
      <c r="F8" s="79"/>
      <c r="G8" s="8"/>
      <c r="H8" s="82" t="s">
        <v>21</v>
      </c>
      <c r="I8" s="82"/>
      <c r="J8" s="82"/>
      <c r="K8" s="82" t="s">
        <v>20</v>
      </c>
      <c r="L8" s="73" t="s">
        <v>23</v>
      </c>
      <c r="M8" s="79"/>
      <c r="N8" s="79"/>
      <c r="O8" s="79"/>
      <c r="P8" s="79"/>
      <c r="Q8" s="8"/>
      <c r="R8" s="82" t="s">
        <v>21</v>
      </c>
      <c r="S8" s="82"/>
      <c r="T8" s="82"/>
      <c r="U8" s="69" t="s">
        <v>20</v>
      </c>
      <c r="V8" s="73" t="s">
        <v>2</v>
      </c>
      <c r="W8" s="79"/>
      <c r="X8" s="79"/>
      <c r="Y8" s="79"/>
      <c r="Z8" s="79"/>
      <c r="AA8" s="8"/>
      <c r="AB8" s="82" t="s">
        <v>21</v>
      </c>
      <c r="AC8" s="82"/>
      <c r="AD8" s="82"/>
      <c r="AE8" s="82" t="s">
        <v>20</v>
      </c>
    </row>
    <row r="9" spans="1:31" ht="12.75">
      <c r="A9" s="84"/>
      <c r="B9" s="73" t="s">
        <v>3</v>
      </c>
      <c r="C9" s="83"/>
      <c r="D9" s="83"/>
      <c r="E9" s="83"/>
      <c r="F9" s="83"/>
      <c r="G9" s="9"/>
      <c r="H9" s="82"/>
      <c r="I9" s="82"/>
      <c r="J9" s="82"/>
      <c r="K9" s="82"/>
      <c r="L9" s="73" t="s">
        <v>3</v>
      </c>
      <c r="M9" s="83"/>
      <c r="N9" s="83"/>
      <c r="O9" s="83"/>
      <c r="P9" s="83"/>
      <c r="Q9" s="9"/>
      <c r="R9" s="82"/>
      <c r="S9" s="82"/>
      <c r="T9" s="82"/>
      <c r="U9" s="80"/>
      <c r="V9" s="73" t="s">
        <v>3</v>
      </c>
      <c r="W9" s="79"/>
      <c r="X9" s="79"/>
      <c r="Y9" s="79"/>
      <c r="Z9" s="79"/>
      <c r="AA9" s="9"/>
      <c r="AB9" s="82"/>
      <c r="AC9" s="82"/>
      <c r="AD9" s="82"/>
      <c r="AE9" s="82"/>
    </row>
    <row r="10" spans="1:31" ht="12.75">
      <c r="A10" s="84"/>
      <c r="B10" s="75" t="s">
        <v>4</v>
      </c>
      <c r="C10" s="75" t="s">
        <v>6</v>
      </c>
      <c r="D10" s="73" t="s">
        <v>5</v>
      </c>
      <c r="E10" s="79"/>
      <c r="F10" s="74"/>
      <c r="G10" s="75" t="s">
        <v>19</v>
      </c>
      <c r="H10" s="82"/>
      <c r="I10" s="82"/>
      <c r="J10" s="82"/>
      <c r="K10" s="82"/>
      <c r="L10" s="75" t="s">
        <v>6</v>
      </c>
      <c r="M10" s="75" t="s">
        <v>6</v>
      </c>
      <c r="N10" s="73" t="s">
        <v>5</v>
      </c>
      <c r="O10" s="79"/>
      <c r="P10" s="74"/>
      <c r="Q10" s="75" t="s">
        <v>19</v>
      </c>
      <c r="R10" s="82"/>
      <c r="S10" s="82"/>
      <c r="T10" s="82"/>
      <c r="U10" s="80"/>
      <c r="V10" s="75" t="s">
        <v>6</v>
      </c>
      <c r="W10" s="75" t="s">
        <v>6</v>
      </c>
      <c r="X10" s="73" t="s">
        <v>5</v>
      </c>
      <c r="Y10" s="79"/>
      <c r="Z10" s="74"/>
      <c r="AA10" s="75" t="s">
        <v>19</v>
      </c>
      <c r="AB10" s="82"/>
      <c r="AC10" s="82"/>
      <c r="AD10" s="82"/>
      <c r="AE10" s="82"/>
    </row>
    <row r="11" spans="1:31" ht="12.75">
      <c r="A11" s="84"/>
      <c r="B11" s="84"/>
      <c r="C11" s="84"/>
      <c r="D11" s="73" t="s">
        <v>7</v>
      </c>
      <c r="E11" s="74"/>
      <c r="F11" s="75" t="s">
        <v>8</v>
      </c>
      <c r="G11" s="76"/>
      <c r="H11" s="77" t="s">
        <v>7</v>
      </c>
      <c r="I11" s="78"/>
      <c r="J11" s="69" t="s">
        <v>8</v>
      </c>
      <c r="K11" s="82"/>
      <c r="L11" s="84"/>
      <c r="M11" s="84"/>
      <c r="N11" s="73" t="s">
        <v>7</v>
      </c>
      <c r="O11" s="74"/>
      <c r="P11" s="75" t="s">
        <v>8</v>
      </c>
      <c r="Q11" s="76"/>
      <c r="R11" s="67" t="s">
        <v>7</v>
      </c>
      <c r="S11" s="68"/>
      <c r="T11" s="69" t="s">
        <v>8</v>
      </c>
      <c r="U11" s="80"/>
      <c r="V11" s="84"/>
      <c r="W11" s="84"/>
      <c r="X11" s="73" t="s">
        <v>7</v>
      </c>
      <c r="Y11" s="74"/>
      <c r="Z11" s="75" t="s">
        <v>8</v>
      </c>
      <c r="AA11" s="76"/>
      <c r="AB11" s="67" t="s">
        <v>7</v>
      </c>
      <c r="AC11" s="68"/>
      <c r="AD11" s="69" t="s">
        <v>8</v>
      </c>
      <c r="AE11" s="82"/>
    </row>
    <row r="12" spans="1:31" ht="51" customHeight="1">
      <c r="A12" s="76"/>
      <c r="B12" s="76"/>
      <c r="C12" s="76"/>
      <c r="D12" s="2" t="s">
        <v>9</v>
      </c>
      <c r="E12" s="2" t="s">
        <v>10</v>
      </c>
      <c r="F12" s="76"/>
      <c r="G12" s="2" t="s">
        <v>9</v>
      </c>
      <c r="H12" s="10" t="s">
        <v>9</v>
      </c>
      <c r="I12" s="10" t="s">
        <v>10</v>
      </c>
      <c r="J12" s="70"/>
      <c r="K12" s="82"/>
      <c r="L12" s="76"/>
      <c r="M12" s="76"/>
      <c r="N12" s="2" t="s">
        <v>9</v>
      </c>
      <c r="O12" s="2" t="s">
        <v>10</v>
      </c>
      <c r="P12" s="76"/>
      <c r="Q12" s="2" t="s">
        <v>9</v>
      </c>
      <c r="R12" s="10" t="s">
        <v>9</v>
      </c>
      <c r="S12" s="10" t="s">
        <v>10</v>
      </c>
      <c r="T12" s="70"/>
      <c r="U12" s="70"/>
      <c r="V12" s="76"/>
      <c r="W12" s="76"/>
      <c r="X12" s="2" t="s">
        <v>9</v>
      </c>
      <c r="Y12" s="2" t="s">
        <v>10</v>
      </c>
      <c r="Z12" s="76"/>
      <c r="AA12" s="2" t="s">
        <v>9</v>
      </c>
      <c r="AB12" s="10" t="s">
        <v>9</v>
      </c>
      <c r="AC12" s="10" t="s">
        <v>10</v>
      </c>
      <c r="AD12" s="70"/>
      <c r="AE12" s="82"/>
    </row>
    <row r="13" spans="1:31" ht="12.75">
      <c r="A13" s="3"/>
      <c r="B13" s="3"/>
      <c r="C13" s="3"/>
      <c r="D13" s="3"/>
      <c r="E13" s="3"/>
      <c r="F13" s="3"/>
      <c r="G13" s="3"/>
      <c r="H13" s="11"/>
      <c r="I13" s="11"/>
      <c r="J13" s="4"/>
      <c r="K13" s="4"/>
      <c r="L13" s="3"/>
      <c r="M13" s="3"/>
      <c r="N13" s="3"/>
      <c r="O13" s="3"/>
      <c r="P13" s="3"/>
      <c r="Q13" s="3"/>
      <c r="R13" s="11"/>
      <c r="S13" s="11"/>
      <c r="T13" s="4"/>
      <c r="U13" s="5"/>
      <c r="V13" s="3"/>
      <c r="W13" s="3"/>
      <c r="X13" s="3"/>
      <c r="Y13" s="3"/>
      <c r="Z13" s="3"/>
      <c r="AA13" s="3"/>
      <c r="AB13" s="11"/>
      <c r="AC13" s="11"/>
      <c r="AD13" s="4"/>
      <c r="AE13" s="5"/>
    </row>
    <row r="14" spans="1:31" ht="12.75">
      <c r="A14" s="3" t="s">
        <v>11</v>
      </c>
      <c r="B14" s="12">
        <v>1004789.49</v>
      </c>
      <c r="C14" s="14">
        <v>1004789.49</v>
      </c>
      <c r="D14" s="14">
        <f>H14-G14</f>
        <v>461487.8499999999</v>
      </c>
      <c r="E14" s="14">
        <f>I14</f>
        <v>1036088.99</v>
      </c>
      <c r="F14" s="14">
        <f>SUM(D14:E14)</f>
        <v>1497576.8399999999</v>
      </c>
      <c r="G14" s="14">
        <v>326573.09</v>
      </c>
      <c r="H14" s="15">
        <v>788060.94</v>
      </c>
      <c r="I14" s="15">
        <v>1036088.99</v>
      </c>
      <c r="J14" s="16">
        <f>SUM(F14+G14)</f>
        <v>1824149.93</v>
      </c>
      <c r="K14" s="16">
        <f>SUM(C14+J14)</f>
        <v>2828939.42</v>
      </c>
      <c r="M14" s="14">
        <f>C14-1004789.49</f>
        <v>0</v>
      </c>
      <c r="N14" s="14">
        <f>R14-Q14</f>
        <v>22511.929999999877</v>
      </c>
      <c r="O14" s="14">
        <f>E14-835412.78</f>
        <v>200676.20999999996</v>
      </c>
      <c r="P14" s="14">
        <f>SUM(N14:O14)</f>
        <v>223188.13999999984</v>
      </c>
      <c r="Q14" s="14">
        <f>G14-313461.86</f>
        <v>13111.23000000004</v>
      </c>
      <c r="R14" s="15">
        <f>H14-752437.78</f>
        <v>35623.159999999916</v>
      </c>
      <c r="S14" s="15">
        <f>O14</f>
        <v>200676.20999999996</v>
      </c>
      <c r="T14" s="16">
        <f>SUM(P14+Q14)</f>
        <v>236299.36999999988</v>
      </c>
      <c r="U14" s="17">
        <f>SUM(M14+T14)</f>
        <v>236299.36999999988</v>
      </c>
      <c r="V14" s="18"/>
      <c r="W14" s="14">
        <v>1324988.9</v>
      </c>
      <c r="X14" s="14">
        <f>AB14-AA14</f>
        <v>379807.9</v>
      </c>
      <c r="Y14" s="14">
        <v>565083.16</v>
      </c>
      <c r="Z14" s="14">
        <f>SUM(X14:Y14)</f>
        <v>944891.06</v>
      </c>
      <c r="AA14" s="14">
        <v>227573.11</v>
      </c>
      <c r="AB14" s="15">
        <v>607381.01</v>
      </c>
      <c r="AC14" s="15">
        <v>565083.16</v>
      </c>
      <c r="AD14" s="16">
        <f>SUM(Z14+AA14)</f>
        <v>1172464.17</v>
      </c>
      <c r="AE14" s="17">
        <f>SUM(W14+AD14)</f>
        <v>2497453.07</v>
      </c>
    </row>
    <row r="15" spans="1:31" ht="12.75">
      <c r="A15" s="3"/>
      <c r="B15" s="12"/>
      <c r="C15" s="14"/>
      <c r="D15" s="14"/>
      <c r="E15" s="14"/>
      <c r="F15" s="14"/>
      <c r="G15" s="14"/>
      <c r="H15" s="11"/>
      <c r="I15" s="11"/>
      <c r="J15" s="16"/>
      <c r="K15" s="16"/>
      <c r="M15" s="14"/>
      <c r="N15" s="14"/>
      <c r="O15" s="14"/>
      <c r="P15" s="14"/>
      <c r="Q15" s="14"/>
      <c r="R15" s="15"/>
      <c r="S15" s="15"/>
      <c r="T15" s="16"/>
      <c r="U15" s="17"/>
      <c r="V15" s="18"/>
      <c r="W15" s="14"/>
      <c r="X15" s="14"/>
      <c r="Y15" s="14"/>
      <c r="Z15" s="14"/>
      <c r="AA15" s="14"/>
      <c r="AB15" s="15"/>
      <c r="AC15" s="15"/>
      <c r="AD15" s="16"/>
      <c r="AE15" s="17"/>
    </row>
    <row r="16" spans="1:31" ht="12.75">
      <c r="A16" s="3" t="s">
        <v>12</v>
      </c>
      <c r="B16" s="12">
        <v>280664.21</v>
      </c>
      <c r="C16" s="14">
        <v>290499.19</v>
      </c>
      <c r="D16" s="14">
        <f>H16-G16</f>
        <v>26748.87</v>
      </c>
      <c r="E16" s="14">
        <f>I16</f>
        <v>39583.77</v>
      </c>
      <c r="F16" s="14">
        <f>SUM(D16:E16)</f>
        <v>66332.64</v>
      </c>
      <c r="G16" s="14">
        <v>7961.69</v>
      </c>
      <c r="H16" s="15">
        <v>34710.56</v>
      </c>
      <c r="I16" s="15">
        <v>39583.77</v>
      </c>
      <c r="J16" s="16">
        <f>SUM(F16+G16)</f>
        <v>74294.33</v>
      </c>
      <c r="K16" s="16">
        <f>SUM(C16+J16)</f>
        <v>364793.52</v>
      </c>
      <c r="M16" s="14">
        <f>C16-285357.71</f>
        <v>5141.479999999981</v>
      </c>
      <c r="N16" s="14">
        <f>R16-Q16</f>
        <v>5638.15</v>
      </c>
      <c r="O16" s="14">
        <f>E16-29049.38</f>
        <v>10534.389999999996</v>
      </c>
      <c r="P16" s="14">
        <f>SUM(N16:O16)</f>
        <v>16172.539999999995</v>
      </c>
      <c r="Q16" s="14">
        <f>G16-7247.56</f>
        <v>714.1299999999992</v>
      </c>
      <c r="R16" s="15">
        <f>H16-28358.28</f>
        <v>6352.279999999999</v>
      </c>
      <c r="S16" s="15">
        <f>O16</f>
        <v>10534.389999999996</v>
      </c>
      <c r="T16" s="16">
        <f>SUM(P16+Q16)</f>
        <v>16886.669999999995</v>
      </c>
      <c r="U16" s="17">
        <f>SUM(M16+T16)</f>
        <v>22028.149999999976</v>
      </c>
      <c r="V16" s="18"/>
      <c r="W16" s="14">
        <v>328444.13</v>
      </c>
      <c r="X16" s="14">
        <f>AB16-AA16</f>
        <v>20848.01</v>
      </c>
      <c r="Y16" s="14">
        <v>30696.15</v>
      </c>
      <c r="Z16" s="14">
        <f>SUM(X16:Y16)</f>
        <v>51544.16</v>
      </c>
      <c r="AA16" s="14">
        <v>2523.9</v>
      </c>
      <c r="AB16" s="15">
        <v>23371.91</v>
      </c>
      <c r="AC16" s="15">
        <f>SUM(Y16)</f>
        <v>30696.15</v>
      </c>
      <c r="AD16" s="16">
        <f>SUM(Z16+AA16)</f>
        <v>54068.060000000005</v>
      </c>
      <c r="AE16" s="17">
        <f>SUM(W16+AD16)</f>
        <v>382512.19</v>
      </c>
    </row>
    <row r="17" spans="1:31" ht="12.75">
      <c r="A17" s="3"/>
      <c r="B17" s="12"/>
      <c r="C17" s="14"/>
      <c r="D17" s="14"/>
      <c r="E17" s="14"/>
      <c r="F17" s="14"/>
      <c r="G17" s="14"/>
      <c r="H17" s="11"/>
      <c r="I17" s="11"/>
      <c r="J17" s="16"/>
      <c r="K17" s="16"/>
      <c r="M17" s="14"/>
      <c r="N17" s="14"/>
      <c r="O17" s="14"/>
      <c r="P17" s="14"/>
      <c r="Q17" s="14"/>
      <c r="R17" s="15"/>
      <c r="S17" s="15"/>
      <c r="T17" s="16"/>
      <c r="U17" s="17"/>
      <c r="V17" s="18"/>
      <c r="W17" s="14"/>
      <c r="X17" s="14"/>
      <c r="Y17" s="14"/>
      <c r="Z17" s="14"/>
      <c r="AA17" s="14"/>
      <c r="AB17" s="15"/>
      <c r="AC17" s="15"/>
      <c r="AD17" s="16"/>
      <c r="AE17" s="17"/>
    </row>
    <row r="18" spans="1:31" ht="12.75">
      <c r="A18" s="3" t="s">
        <v>13</v>
      </c>
      <c r="B18" s="13">
        <v>9284.75</v>
      </c>
      <c r="C18" s="14">
        <v>10377.07</v>
      </c>
      <c r="D18" s="14">
        <f>H18-G18</f>
        <v>17089.16</v>
      </c>
      <c r="E18" s="14">
        <f>I18</f>
        <v>15654.95</v>
      </c>
      <c r="F18" s="14">
        <f>SUM(D18:E18)</f>
        <v>32744.11</v>
      </c>
      <c r="G18" s="14">
        <v>0</v>
      </c>
      <c r="H18" s="15">
        <v>17089.16</v>
      </c>
      <c r="I18" s="15">
        <v>15654.95</v>
      </c>
      <c r="J18" s="16">
        <f>SUM(F18+G18)</f>
        <v>32744.11</v>
      </c>
      <c r="K18" s="16">
        <f>SUM(C18+J18)</f>
        <v>43121.18</v>
      </c>
      <c r="M18" s="14">
        <f>C18-9287.19</f>
        <v>1089.8799999999992</v>
      </c>
      <c r="N18" s="14">
        <f>R18-Q18</f>
        <v>9088.58</v>
      </c>
      <c r="O18" s="14">
        <f>E18-13108</f>
        <v>2546.9500000000007</v>
      </c>
      <c r="P18" s="14">
        <f>SUM(N18:O18)</f>
        <v>11635.53</v>
      </c>
      <c r="Q18" s="14">
        <f>G18-0</f>
        <v>0</v>
      </c>
      <c r="R18" s="15">
        <f>H18-8000.58</f>
        <v>9088.58</v>
      </c>
      <c r="S18" s="15">
        <f>O18</f>
        <v>2546.9500000000007</v>
      </c>
      <c r="T18" s="16">
        <f>SUM(P18+Q18)</f>
        <v>11635.53</v>
      </c>
      <c r="U18" s="17">
        <f>SUM(M18+T18)</f>
        <v>12725.41</v>
      </c>
      <c r="V18" s="18"/>
      <c r="W18" s="14">
        <v>5541.18</v>
      </c>
      <c r="X18" s="14">
        <f>AB18-AA18</f>
        <v>8384.62</v>
      </c>
      <c r="Y18" s="14">
        <v>14367.66</v>
      </c>
      <c r="Z18" s="14">
        <f>SUM(X18:Y18)</f>
        <v>22752.28</v>
      </c>
      <c r="AA18" s="14">
        <v>0</v>
      </c>
      <c r="AB18" s="15">
        <v>8384.62</v>
      </c>
      <c r="AC18" s="15">
        <f>SUM(Y18)</f>
        <v>14367.66</v>
      </c>
      <c r="AD18" s="16">
        <f>SUM(Z18+AA18)</f>
        <v>22752.28</v>
      </c>
      <c r="AE18" s="17">
        <f>SUM(W18+AD18)</f>
        <v>28293.46</v>
      </c>
    </row>
    <row r="19" spans="1:31" ht="12.75">
      <c r="A19" s="3"/>
      <c r="B19" s="12"/>
      <c r="C19" s="14"/>
      <c r="D19" s="14"/>
      <c r="E19" s="14"/>
      <c r="F19" s="14"/>
      <c r="G19" s="14"/>
      <c r="H19" s="11"/>
      <c r="I19" s="11"/>
      <c r="J19" s="16"/>
      <c r="K19" s="16"/>
      <c r="M19" s="14"/>
      <c r="N19" s="14"/>
      <c r="O19" s="14"/>
      <c r="P19" s="14"/>
      <c r="Q19" s="14"/>
      <c r="R19" s="15"/>
      <c r="S19" s="15"/>
      <c r="T19" s="16"/>
      <c r="U19" s="17"/>
      <c r="V19" s="18"/>
      <c r="W19" s="14"/>
      <c r="X19" s="14"/>
      <c r="Y19" s="14"/>
      <c r="Z19" s="14"/>
      <c r="AA19" s="14"/>
      <c r="AB19" s="15"/>
      <c r="AC19" s="15"/>
      <c r="AD19" s="16"/>
      <c r="AE19" s="17"/>
    </row>
    <row r="20" spans="1:31" ht="12.75">
      <c r="A20" s="3" t="s">
        <v>14</v>
      </c>
      <c r="B20" s="13">
        <v>4500</v>
      </c>
      <c r="C20" s="14">
        <v>4500</v>
      </c>
      <c r="D20" s="14"/>
      <c r="E20" s="14"/>
      <c r="F20" s="14">
        <v>0</v>
      </c>
      <c r="G20" s="14"/>
      <c r="H20" s="11"/>
      <c r="I20" s="11"/>
      <c r="J20" s="16">
        <f>SUM(E20)</f>
        <v>0</v>
      </c>
      <c r="K20" s="16">
        <f>SUM(C20+J20)</f>
        <v>4500</v>
      </c>
      <c r="M20" s="19"/>
      <c r="N20" s="19"/>
      <c r="O20" s="19"/>
      <c r="P20" s="19"/>
      <c r="Q20" s="19"/>
      <c r="R20" s="15"/>
      <c r="S20" s="15"/>
      <c r="T20" s="16">
        <f>SUM(O20)</f>
        <v>0</v>
      </c>
      <c r="U20" s="17">
        <f>SUM(M20+T20)</f>
        <v>0</v>
      </c>
      <c r="V20" s="18"/>
      <c r="W20" s="14">
        <v>4500</v>
      </c>
      <c r="X20" s="14"/>
      <c r="Y20" s="14"/>
      <c r="Z20" s="14"/>
      <c r="AA20" s="14"/>
      <c r="AB20" s="15"/>
      <c r="AC20" s="15"/>
      <c r="AD20" s="16">
        <f>SUM(Y20)</f>
        <v>0</v>
      </c>
      <c r="AE20" s="17">
        <f>SUM(W20+AD20)</f>
        <v>4500</v>
      </c>
    </row>
    <row r="22" spans="23:27" ht="12.75">
      <c r="W22" s="6"/>
      <c r="X22" s="6">
        <v>11.7154</v>
      </c>
      <c r="Y22" s="7" t="s">
        <v>15</v>
      </c>
      <c r="Z22" s="1">
        <v>15.0737</v>
      </c>
      <c r="AA22" s="1" t="s">
        <v>16</v>
      </c>
    </row>
    <row r="23" spans="1:31" ht="12.75" customHeight="1">
      <c r="A23" s="75" t="s">
        <v>0</v>
      </c>
      <c r="B23" s="73" t="s">
        <v>24</v>
      </c>
      <c r="C23" s="79"/>
      <c r="D23" s="79"/>
      <c r="E23" s="79"/>
      <c r="F23" s="79"/>
      <c r="G23" s="8"/>
      <c r="H23" s="82" t="s">
        <v>21</v>
      </c>
      <c r="I23" s="82"/>
      <c r="J23" s="82"/>
      <c r="K23" s="82" t="s">
        <v>20</v>
      </c>
      <c r="L23" s="73" t="s">
        <v>17</v>
      </c>
      <c r="M23" s="79"/>
      <c r="N23" s="79"/>
      <c r="O23" s="79"/>
      <c r="P23" s="79"/>
      <c r="Q23" s="8"/>
      <c r="R23" s="82" t="s">
        <v>21</v>
      </c>
      <c r="S23" s="82"/>
      <c r="T23" s="82"/>
      <c r="U23" s="69" t="s">
        <v>20</v>
      </c>
      <c r="V23" s="67" t="s">
        <v>25</v>
      </c>
      <c r="W23" s="81"/>
      <c r="X23" s="81"/>
      <c r="Y23" s="81"/>
      <c r="Z23" s="81"/>
      <c r="AA23" s="8"/>
      <c r="AB23" s="82" t="s">
        <v>21</v>
      </c>
      <c r="AC23" s="82"/>
      <c r="AD23" s="82"/>
      <c r="AE23" s="82" t="s">
        <v>20</v>
      </c>
    </row>
    <row r="24" spans="1:31" ht="12.75">
      <c r="A24" s="84"/>
      <c r="B24" s="73" t="s">
        <v>3</v>
      </c>
      <c r="C24" s="83"/>
      <c r="D24" s="83"/>
      <c r="E24" s="83"/>
      <c r="F24" s="83"/>
      <c r="G24" s="9"/>
      <c r="H24" s="82"/>
      <c r="I24" s="82"/>
      <c r="J24" s="82"/>
      <c r="K24" s="82"/>
      <c r="L24" s="73" t="s">
        <v>3</v>
      </c>
      <c r="M24" s="83"/>
      <c r="N24" s="83"/>
      <c r="O24" s="83"/>
      <c r="P24" s="83"/>
      <c r="Q24" s="9"/>
      <c r="R24" s="82"/>
      <c r="S24" s="82"/>
      <c r="T24" s="82"/>
      <c r="U24" s="80"/>
      <c r="V24" s="73" t="s">
        <v>3</v>
      </c>
      <c r="W24" s="79"/>
      <c r="X24" s="79"/>
      <c r="Y24" s="79"/>
      <c r="Z24" s="79"/>
      <c r="AA24" s="9"/>
      <c r="AB24" s="82"/>
      <c r="AC24" s="82"/>
      <c r="AD24" s="82"/>
      <c r="AE24" s="82"/>
    </row>
    <row r="25" spans="1:31" ht="12.75">
      <c r="A25" s="84"/>
      <c r="B25" s="75" t="s">
        <v>6</v>
      </c>
      <c r="C25" s="75" t="s">
        <v>22</v>
      </c>
      <c r="D25" s="73" t="s">
        <v>5</v>
      </c>
      <c r="E25" s="79"/>
      <c r="F25" s="74"/>
      <c r="G25" s="75" t="s">
        <v>19</v>
      </c>
      <c r="H25" s="82"/>
      <c r="I25" s="82"/>
      <c r="J25" s="82"/>
      <c r="K25" s="82"/>
      <c r="L25" s="75" t="s">
        <v>6</v>
      </c>
      <c r="M25" s="75" t="s">
        <v>6</v>
      </c>
      <c r="N25" s="73" t="s">
        <v>5</v>
      </c>
      <c r="O25" s="79"/>
      <c r="P25" s="74"/>
      <c r="Q25" s="75" t="s">
        <v>19</v>
      </c>
      <c r="R25" s="82"/>
      <c r="S25" s="82"/>
      <c r="T25" s="82"/>
      <c r="U25" s="80"/>
      <c r="V25" s="75" t="s">
        <v>6</v>
      </c>
      <c r="W25" s="75" t="s">
        <v>22</v>
      </c>
      <c r="X25" s="73" t="s">
        <v>5</v>
      </c>
      <c r="Y25" s="79"/>
      <c r="Z25" s="74"/>
      <c r="AA25" s="75" t="s">
        <v>19</v>
      </c>
      <c r="AB25" s="82"/>
      <c r="AC25" s="82"/>
      <c r="AD25" s="82"/>
      <c r="AE25" s="82"/>
    </row>
    <row r="26" spans="1:31" ht="12.75">
      <c r="A26" s="84"/>
      <c r="B26" s="84"/>
      <c r="C26" s="84"/>
      <c r="D26" s="73" t="s">
        <v>7</v>
      </c>
      <c r="E26" s="74"/>
      <c r="F26" s="75" t="s">
        <v>8</v>
      </c>
      <c r="G26" s="76"/>
      <c r="H26" s="77" t="s">
        <v>7</v>
      </c>
      <c r="I26" s="78"/>
      <c r="J26" s="69" t="s">
        <v>8</v>
      </c>
      <c r="K26" s="82"/>
      <c r="L26" s="84"/>
      <c r="M26" s="84"/>
      <c r="N26" s="73" t="s">
        <v>7</v>
      </c>
      <c r="O26" s="74"/>
      <c r="P26" s="75" t="s">
        <v>8</v>
      </c>
      <c r="Q26" s="76"/>
      <c r="R26" s="67" t="s">
        <v>7</v>
      </c>
      <c r="S26" s="68"/>
      <c r="T26" s="69" t="s">
        <v>8</v>
      </c>
      <c r="U26" s="80"/>
      <c r="V26" s="84"/>
      <c r="W26" s="84"/>
      <c r="X26" s="73" t="s">
        <v>7</v>
      </c>
      <c r="Y26" s="74"/>
      <c r="Z26" s="75" t="s">
        <v>8</v>
      </c>
      <c r="AA26" s="76"/>
      <c r="AB26" s="67" t="s">
        <v>7</v>
      </c>
      <c r="AC26" s="68"/>
      <c r="AD26" s="69" t="s">
        <v>8</v>
      </c>
      <c r="AE26" s="82"/>
    </row>
    <row r="27" spans="1:31" ht="25.5">
      <c r="A27" s="76"/>
      <c r="B27" s="76"/>
      <c r="C27" s="76"/>
      <c r="D27" s="2" t="s">
        <v>9</v>
      </c>
      <c r="E27" s="2" t="s">
        <v>10</v>
      </c>
      <c r="F27" s="76"/>
      <c r="G27" s="2" t="s">
        <v>9</v>
      </c>
      <c r="H27" s="10" t="s">
        <v>9</v>
      </c>
      <c r="I27" s="10" t="s">
        <v>10</v>
      </c>
      <c r="J27" s="70"/>
      <c r="K27" s="82"/>
      <c r="L27" s="76"/>
      <c r="M27" s="76"/>
      <c r="N27" s="2" t="s">
        <v>9</v>
      </c>
      <c r="O27" s="2" t="s">
        <v>10</v>
      </c>
      <c r="P27" s="76"/>
      <c r="Q27" s="2" t="s">
        <v>9</v>
      </c>
      <c r="R27" s="10" t="s">
        <v>9</v>
      </c>
      <c r="S27" s="10" t="s">
        <v>10</v>
      </c>
      <c r="T27" s="70"/>
      <c r="U27" s="70"/>
      <c r="V27" s="76"/>
      <c r="W27" s="76"/>
      <c r="X27" s="2" t="s">
        <v>9</v>
      </c>
      <c r="Y27" s="2" t="s">
        <v>10</v>
      </c>
      <c r="Z27" s="76"/>
      <c r="AA27" s="2" t="s">
        <v>9</v>
      </c>
      <c r="AB27" s="10" t="s">
        <v>9</v>
      </c>
      <c r="AC27" s="10" t="s">
        <v>10</v>
      </c>
      <c r="AD27" s="70"/>
      <c r="AE27" s="82"/>
    </row>
    <row r="28" spans="1:31" ht="12.75">
      <c r="A28" s="3"/>
      <c r="B28" s="3"/>
      <c r="C28" s="3"/>
      <c r="D28" s="3"/>
      <c r="E28" s="3"/>
      <c r="F28" s="3"/>
      <c r="G28" s="3"/>
      <c r="H28" s="11"/>
      <c r="I28" s="11"/>
      <c r="J28" s="5"/>
      <c r="K28" s="5"/>
      <c r="L28" s="3"/>
      <c r="M28" s="3"/>
      <c r="N28" s="3"/>
      <c r="O28" s="3"/>
      <c r="P28" s="3"/>
      <c r="Q28" s="3"/>
      <c r="R28" s="11"/>
      <c r="S28" s="11"/>
      <c r="T28" s="5"/>
      <c r="U28" s="5"/>
      <c r="V28" s="3"/>
      <c r="W28" s="3"/>
      <c r="X28" s="3"/>
      <c r="Y28" s="3"/>
      <c r="Z28" s="3"/>
      <c r="AA28" s="3"/>
      <c r="AB28" s="11"/>
      <c r="AC28" s="11"/>
      <c r="AD28" s="5"/>
      <c r="AE28" s="5"/>
    </row>
    <row r="29" spans="1:31" ht="12.75">
      <c r="A29" s="3" t="s">
        <v>11</v>
      </c>
      <c r="B29" s="12">
        <f>W14-1248437.65</f>
        <v>76551.25</v>
      </c>
      <c r="C29" s="14">
        <f>W14-1318261.96</f>
        <v>6726.939999999944</v>
      </c>
      <c r="D29" s="14">
        <f>H29-G29</f>
        <v>93180.18000000002</v>
      </c>
      <c r="E29" s="14">
        <f>Y14-376599.72</f>
        <v>188483.44000000006</v>
      </c>
      <c r="F29" s="14">
        <f>SUM(D29:E29)</f>
        <v>281663.6200000001</v>
      </c>
      <c r="G29" s="14">
        <f>AA14-174451.96</f>
        <v>53121.149999999994</v>
      </c>
      <c r="H29" s="15">
        <f>AB14-461079.68</f>
        <v>146301.33000000002</v>
      </c>
      <c r="I29" s="15">
        <f>E29</f>
        <v>188483.44000000006</v>
      </c>
      <c r="J29" s="17">
        <f>SUM(F29+G29)</f>
        <v>334784.77000000014</v>
      </c>
      <c r="K29" s="17">
        <f>SUM(C29+J29)</f>
        <v>341511.7100000001</v>
      </c>
      <c r="L29" s="14">
        <v>428694.72</v>
      </c>
      <c r="M29" s="14">
        <v>355174.13</v>
      </c>
      <c r="N29" s="14">
        <f>R29-Q29</f>
        <v>270758.14</v>
      </c>
      <c r="O29" s="14">
        <v>686181.62</v>
      </c>
      <c r="P29" s="14">
        <f>SUM(N29:O29)</f>
        <v>956939.76</v>
      </c>
      <c r="Q29" s="14">
        <v>165763.81</v>
      </c>
      <c r="R29" s="15">
        <v>436521.95</v>
      </c>
      <c r="S29" s="15">
        <f>SUM(O29)</f>
        <v>686181.62</v>
      </c>
      <c r="T29" s="17">
        <f>SUM(P29+Q29)</f>
        <v>1122703.57</v>
      </c>
      <c r="U29" s="17">
        <f>SUM(M29+T29)</f>
        <v>1477877.7000000002</v>
      </c>
      <c r="V29" s="18"/>
      <c r="W29" s="14">
        <f>M29</f>
        <v>355174.13</v>
      </c>
      <c r="X29" s="14">
        <f>AB29-AA29</f>
        <v>270758.14</v>
      </c>
      <c r="Y29" s="14">
        <f>O29</f>
        <v>686181.62</v>
      </c>
      <c r="Z29" s="14">
        <f>SUM(X29:Y29)</f>
        <v>956939.76</v>
      </c>
      <c r="AA29" s="14">
        <f>Q29</f>
        <v>165763.81</v>
      </c>
      <c r="AB29" s="15">
        <f>R29</f>
        <v>436521.95</v>
      </c>
      <c r="AC29" s="15">
        <f>SUM(Y29)</f>
        <v>686181.62</v>
      </c>
      <c r="AD29" s="17">
        <f>SUM(Z29+AA29)</f>
        <v>1122703.57</v>
      </c>
      <c r="AE29" s="23">
        <f>SUM(W29+AD29)</f>
        <v>1477877.7000000002</v>
      </c>
    </row>
    <row r="30" spans="1:31" ht="12.75">
      <c r="A30" s="3"/>
      <c r="B30" s="12"/>
      <c r="C30" s="14"/>
      <c r="D30" s="14"/>
      <c r="E30" s="14"/>
      <c r="F30" s="14"/>
      <c r="G30" s="14"/>
      <c r="H30" s="15"/>
      <c r="I30" s="15"/>
      <c r="J30" s="17"/>
      <c r="K30" s="17"/>
      <c r="L30" s="14"/>
      <c r="M30" s="14"/>
      <c r="N30" s="14"/>
      <c r="O30" s="14"/>
      <c r="P30" s="14"/>
      <c r="Q30" s="14"/>
      <c r="R30" s="15"/>
      <c r="S30" s="15"/>
      <c r="T30" s="17"/>
      <c r="U30" s="17"/>
      <c r="V30" s="18"/>
      <c r="W30" s="14"/>
      <c r="X30" s="14"/>
      <c r="Y30" s="14"/>
      <c r="Z30" s="14"/>
      <c r="AA30" s="14"/>
      <c r="AB30" s="15"/>
      <c r="AC30" s="15"/>
      <c r="AD30" s="17"/>
      <c r="AE30" s="17"/>
    </row>
    <row r="31" spans="1:31" ht="12.75">
      <c r="A31" s="3" t="s">
        <v>12</v>
      </c>
      <c r="B31" s="13">
        <f>W16-316428.29</f>
        <v>12015.840000000026</v>
      </c>
      <c r="C31" s="14">
        <f>W16-323200.66</f>
        <v>5243.47000000003</v>
      </c>
      <c r="D31" s="14">
        <f>H31-G31</f>
        <v>779.4399999999998</v>
      </c>
      <c r="E31" s="14">
        <f>Y16-29798.24</f>
        <v>897.9099999999999</v>
      </c>
      <c r="F31" s="14">
        <f>SUM(D31:E31)</f>
        <v>1677.3499999999997</v>
      </c>
      <c r="G31" s="14">
        <f>AA16-1665.34</f>
        <v>858.5600000000002</v>
      </c>
      <c r="H31" s="15">
        <f>AB16-21733.91</f>
        <v>1638</v>
      </c>
      <c r="I31" s="15">
        <f>E31</f>
        <v>897.9099999999999</v>
      </c>
      <c r="J31" s="17">
        <f>SUM(F31+G31)</f>
        <v>2535.91</v>
      </c>
      <c r="K31" s="17">
        <f>SUM(C31+J31)</f>
        <v>7779.38000000003</v>
      </c>
      <c r="L31" s="14">
        <v>66278.45</v>
      </c>
      <c r="M31" s="14">
        <v>69987.68</v>
      </c>
      <c r="N31" s="14">
        <f>R31-Q31</f>
        <v>7993.58</v>
      </c>
      <c r="O31" s="14">
        <v>11601.01</v>
      </c>
      <c r="P31" s="14">
        <f>SUM(N31:O31)</f>
        <v>19594.59</v>
      </c>
      <c r="Q31" s="14">
        <v>5773.92</v>
      </c>
      <c r="R31" s="15">
        <v>13767.5</v>
      </c>
      <c r="S31" s="15">
        <f>SUM(O31)</f>
        <v>11601.01</v>
      </c>
      <c r="T31" s="17">
        <f>SUM(P31+Q31)</f>
        <v>25368.510000000002</v>
      </c>
      <c r="U31" s="17">
        <f>SUM(M31+T31)</f>
        <v>95356.19</v>
      </c>
      <c r="V31" s="18"/>
      <c r="W31" s="14">
        <f>M31*X22</f>
        <v>819933.666272</v>
      </c>
      <c r="X31" s="14">
        <f>AB31-AA31</f>
        <v>93647.98713200002</v>
      </c>
      <c r="Y31" s="14">
        <f>O31*X22</f>
        <v>135910.472554</v>
      </c>
      <c r="Z31" s="14">
        <f>SUM(X31:Y31)</f>
        <v>229558.45968600002</v>
      </c>
      <c r="AA31" s="22">
        <f>Q31*X22</f>
        <v>67643.782368</v>
      </c>
      <c r="AB31" s="15">
        <f>R31*X22</f>
        <v>161291.76950000002</v>
      </c>
      <c r="AC31" s="15">
        <f>SUM(Y31)</f>
        <v>135910.472554</v>
      </c>
      <c r="AD31" s="17">
        <f>SUM(Z31+AA31)</f>
        <v>297202.24205400003</v>
      </c>
      <c r="AE31" s="26">
        <f>SUM(W31+AD31)</f>
        <v>1117135.908326</v>
      </c>
    </row>
    <row r="32" spans="1:31" ht="12.75">
      <c r="A32" s="3"/>
      <c r="B32" s="12"/>
      <c r="C32" s="14"/>
      <c r="D32" s="14"/>
      <c r="E32" s="14"/>
      <c r="F32" s="14"/>
      <c r="G32" s="14"/>
      <c r="H32" s="15"/>
      <c r="I32" s="15"/>
      <c r="J32" s="17"/>
      <c r="K32" s="17"/>
      <c r="L32" s="14"/>
      <c r="M32" s="14"/>
      <c r="N32" s="14"/>
      <c r="O32" s="14"/>
      <c r="P32" s="14"/>
      <c r="Q32" s="14"/>
      <c r="R32" s="15"/>
      <c r="S32" s="15"/>
      <c r="T32" s="17"/>
      <c r="U32" s="17"/>
      <c r="V32" s="18"/>
      <c r="W32" s="14"/>
      <c r="X32" s="14"/>
      <c r="Y32" s="14"/>
      <c r="Z32" s="14"/>
      <c r="AA32" s="14"/>
      <c r="AB32" s="15"/>
      <c r="AC32" s="15"/>
      <c r="AD32" s="17"/>
      <c r="AE32" s="17"/>
    </row>
    <row r="33" spans="1:31" ht="12.75">
      <c r="A33" s="3" t="s">
        <v>13</v>
      </c>
      <c r="B33" s="12">
        <f>W18-1153.8</f>
        <v>4387.38</v>
      </c>
      <c r="C33" s="14">
        <f>W18-3313.98</f>
        <v>2227.2000000000003</v>
      </c>
      <c r="D33" s="22">
        <f>H33-G33</f>
        <v>1633.4300000000012</v>
      </c>
      <c r="E33" s="14">
        <f>Y18-14243.35</f>
        <v>124.30999999999949</v>
      </c>
      <c r="F33" s="14">
        <f>SUM(D33:E33)</f>
        <v>1757.7400000000007</v>
      </c>
      <c r="G33" s="14">
        <v>0</v>
      </c>
      <c r="H33" s="25">
        <f>AB18-6751.19</f>
        <v>1633.4300000000012</v>
      </c>
      <c r="I33" s="15">
        <f>E33</f>
        <v>124.30999999999949</v>
      </c>
      <c r="J33" s="17">
        <f>SUM(F33+G33)</f>
        <v>1757.7400000000007</v>
      </c>
      <c r="K33" s="17">
        <f>SUM(C33+J33)</f>
        <v>3984.940000000001</v>
      </c>
      <c r="L33" s="14">
        <v>7796.75</v>
      </c>
      <c r="M33" s="14">
        <v>5576.22</v>
      </c>
      <c r="N33" s="14">
        <f>R33-Q33</f>
        <v>9420.32</v>
      </c>
      <c r="O33" s="14">
        <v>2556.75</v>
      </c>
      <c r="P33" s="14">
        <f>N33+O33</f>
        <v>11977.07</v>
      </c>
      <c r="Q33" s="14">
        <v>0</v>
      </c>
      <c r="R33" s="15">
        <v>9420.32</v>
      </c>
      <c r="S33" s="15">
        <f>SUM(O33)</f>
        <v>2556.75</v>
      </c>
      <c r="T33" s="17">
        <f>SUM(P33+Q33)</f>
        <v>11977.07</v>
      </c>
      <c r="U33" s="17">
        <f>SUM(M33+T33)</f>
        <v>17553.29</v>
      </c>
      <c r="V33" s="18"/>
      <c r="W33" s="22">
        <f>M33*Z22</f>
        <v>84054.267414</v>
      </c>
      <c r="X33" s="14">
        <f>AB33-AA33</f>
        <v>141999.077584</v>
      </c>
      <c r="Y33" s="22">
        <f>O33*Z22</f>
        <v>38539.682475</v>
      </c>
      <c r="Z33" s="14">
        <f>SUM(X33:Y33)</f>
        <v>180538.76005900002</v>
      </c>
      <c r="AA33" s="14">
        <v>0</v>
      </c>
      <c r="AB33" s="15">
        <f>R33*Z22</f>
        <v>141999.077584</v>
      </c>
      <c r="AC33" s="15">
        <f>Y33</f>
        <v>38539.682475</v>
      </c>
      <c r="AD33" s="17">
        <f>SUM(Z33+AA33)</f>
        <v>180538.76005900002</v>
      </c>
      <c r="AE33" s="23">
        <f>SUM(W33+AD33)</f>
        <v>264593.027473</v>
      </c>
    </row>
    <row r="34" spans="1:31" ht="12.75">
      <c r="A34" s="3"/>
      <c r="B34" s="3"/>
      <c r="C34" s="19"/>
      <c r="D34" s="19"/>
      <c r="E34" s="19"/>
      <c r="F34" s="19"/>
      <c r="G34" s="19"/>
      <c r="H34" s="15"/>
      <c r="I34" s="15"/>
      <c r="J34" s="17"/>
      <c r="K34" s="17"/>
      <c r="L34" s="14"/>
      <c r="M34" s="14"/>
      <c r="N34" s="14"/>
      <c r="O34" s="14"/>
      <c r="P34" s="14"/>
      <c r="Q34" s="14"/>
      <c r="R34" s="15"/>
      <c r="S34" s="15"/>
      <c r="T34" s="17"/>
      <c r="U34" s="17"/>
      <c r="V34" s="14"/>
      <c r="W34" s="14"/>
      <c r="X34" s="14"/>
      <c r="Y34" s="14"/>
      <c r="Z34" s="14"/>
      <c r="AA34" s="14"/>
      <c r="AB34" s="15"/>
      <c r="AC34" s="15"/>
      <c r="AD34" s="17"/>
      <c r="AE34" s="17"/>
    </row>
    <row r="35" spans="1:31" ht="12.75">
      <c r="A35" s="3" t="s">
        <v>14</v>
      </c>
      <c r="B35" s="3"/>
      <c r="C35" s="19">
        <f>SUM(B35:B35)</f>
        <v>0</v>
      </c>
      <c r="D35" s="19"/>
      <c r="E35" s="19"/>
      <c r="F35" s="19"/>
      <c r="G35" s="19"/>
      <c r="H35" s="15"/>
      <c r="I35" s="15"/>
      <c r="J35" s="17">
        <f>SUM(E35)</f>
        <v>0</v>
      </c>
      <c r="K35" s="17">
        <f>SUM(C35+F35)</f>
        <v>0</v>
      </c>
      <c r="L35" s="14"/>
      <c r="M35" s="14">
        <f>SUM(L35:L35)</f>
        <v>0</v>
      </c>
      <c r="N35" s="14"/>
      <c r="O35" s="14"/>
      <c r="P35" s="14"/>
      <c r="Q35" s="14"/>
      <c r="R35" s="15"/>
      <c r="S35" s="15"/>
      <c r="T35" s="17">
        <f>SUM(O35)</f>
        <v>0</v>
      </c>
      <c r="U35" s="17">
        <f>SUM(L35:P35)</f>
        <v>0</v>
      </c>
      <c r="V35" s="14"/>
      <c r="W35" s="14"/>
      <c r="X35" s="14"/>
      <c r="Y35" s="14"/>
      <c r="Z35" s="14"/>
      <c r="AA35" s="14"/>
      <c r="AB35" s="15"/>
      <c r="AC35" s="15"/>
      <c r="AD35" s="17">
        <f>SUM(Y35)</f>
        <v>0</v>
      </c>
      <c r="AE35" s="17">
        <f>SUM(V35:Z35)</f>
        <v>0</v>
      </c>
    </row>
    <row r="36" spans="15:31" ht="12.75"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9"/>
      <c r="AA36" s="19"/>
      <c r="AB36" s="21"/>
      <c r="AC36" s="21"/>
      <c r="AD36" s="19"/>
      <c r="AE36" s="19"/>
    </row>
    <row r="37" spans="15:31" ht="12.75">
      <c r="O37" s="71" t="s">
        <v>18</v>
      </c>
      <c r="P37" s="71"/>
      <c r="Q37" s="71"/>
      <c r="R37" s="71"/>
      <c r="S37" s="71"/>
      <c r="T37" s="71"/>
      <c r="U37" s="72"/>
      <c r="V37" s="20"/>
      <c r="W37" s="24">
        <f aca="true" t="shared" si="0" ref="W37:AE37">SUM(W29:W35)</f>
        <v>1259162.0636859997</v>
      </c>
      <c r="X37" s="20">
        <f t="shared" si="0"/>
        <v>506405.20471600007</v>
      </c>
      <c r="Y37" s="20">
        <f t="shared" si="0"/>
        <v>860631.775029</v>
      </c>
      <c r="Z37" s="20">
        <f t="shared" si="0"/>
        <v>1367036.9797450001</v>
      </c>
      <c r="AA37" s="24">
        <f t="shared" si="0"/>
        <v>233407.592368</v>
      </c>
      <c r="AB37" s="24">
        <f>AB29+AB31+AB33</f>
        <v>739812.797084</v>
      </c>
      <c r="AC37" s="28">
        <f t="shared" si="0"/>
        <v>860631.775029</v>
      </c>
      <c r="AD37" s="24">
        <f t="shared" si="0"/>
        <v>1600444.572113</v>
      </c>
      <c r="AE37" s="27">
        <f t="shared" si="0"/>
        <v>2859606.635799</v>
      </c>
    </row>
  </sheetData>
  <sheetProtection/>
  <mergeCells count="75">
    <mergeCell ref="O37:U37"/>
    <mergeCell ref="D26:E26"/>
    <mergeCell ref="F26:F27"/>
    <mergeCell ref="H26:I26"/>
    <mergeCell ref="J26:J27"/>
    <mergeCell ref="N26:O26"/>
    <mergeCell ref="P26:P27"/>
    <mergeCell ref="T26:T27"/>
    <mergeCell ref="Z26:Z27"/>
    <mergeCell ref="V25:V27"/>
    <mergeCell ref="W25:W27"/>
    <mergeCell ref="AB26:AC26"/>
    <mergeCell ref="AB23:AD25"/>
    <mergeCell ref="AD26:AD27"/>
    <mergeCell ref="AA25:AA26"/>
    <mergeCell ref="AE23:AE27"/>
    <mergeCell ref="B24:F24"/>
    <mergeCell ref="L24:P24"/>
    <mergeCell ref="V24:Z24"/>
    <mergeCell ref="B25:B27"/>
    <mergeCell ref="C25:C27"/>
    <mergeCell ref="D25:F25"/>
    <mergeCell ref="G25:G26"/>
    <mergeCell ref="L25:L27"/>
    <mergeCell ref="X26:Y26"/>
    <mergeCell ref="B8:F8"/>
    <mergeCell ref="L23:P23"/>
    <mergeCell ref="R23:T25"/>
    <mergeCell ref="U23:U27"/>
    <mergeCell ref="V23:Z23"/>
    <mergeCell ref="M25:M27"/>
    <mergeCell ref="X25:Z25"/>
    <mergeCell ref="N25:P25"/>
    <mergeCell ref="Q25:Q26"/>
    <mergeCell ref="R26:S26"/>
    <mergeCell ref="AA10:AA11"/>
    <mergeCell ref="A23:A27"/>
    <mergeCell ref="B23:F23"/>
    <mergeCell ref="H23:J25"/>
    <mergeCell ref="K23:K27"/>
    <mergeCell ref="R11:S11"/>
    <mergeCell ref="T11:T12"/>
    <mergeCell ref="M10:M12"/>
    <mergeCell ref="N10:P10"/>
    <mergeCell ref="A8:A12"/>
    <mergeCell ref="D11:E11"/>
    <mergeCell ref="F11:F12"/>
    <mergeCell ref="H11:I11"/>
    <mergeCell ref="J11:J12"/>
    <mergeCell ref="Z11:Z12"/>
    <mergeCell ref="AB11:AC11"/>
    <mergeCell ref="Q10:Q11"/>
    <mergeCell ref="X11:Y11"/>
    <mergeCell ref="V10:V12"/>
    <mergeCell ref="W10:W12"/>
    <mergeCell ref="B9:F9"/>
    <mergeCell ref="L9:P9"/>
    <mergeCell ref="V9:Z9"/>
    <mergeCell ref="B10:B12"/>
    <mergeCell ref="C10:C12"/>
    <mergeCell ref="D10:F10"/>
    <mergeCell ref="R8:T10"/>
    <mergeCell ref="L10:L12"/>
    <mergeCell ref="U8:U12"/>
    <mergeCell ref="V8:Z8"/>
    <mergeCell ref="H8:J10"/>
    <mergeCell ref="K8:K12"/>
    <mergeCell ref="G10:G11"/>
    <mergeCell ref="N11:O11"/>
    <mergeCell ref="P11:P12"/>
    <mergeCell ref="AE8:AE12"/>
    <mergeCell ref="L8:P8"/>
    <mergeCell ref="AB8:AD10"/>
    <mergeCell ref="AD11:AD12"/>
    <mergeCell ref="X10:Z10"/>
  </mergeCells>
  <printOptions/>
  <pageMargins left="0.15748031496062992" right="0.15748031496062992" top="0.2755905511811024" bottom="0.2755905511811024" header="0.15748031496062992" footer="0.196850393700787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E37"/>
  <sheetViews>
    <sheetView zoomScalePageLayoutView="0" workbookViewId="0" topLeftCell="K7">
      <selection activeCell="M16" sqref="M16"/>
    </sheetView>
  </sheetViews>
  <sheetFormatPr defaultColWidth="9.00390625" defaultRowHeight="12.75"/>
  <cols>
    <col min="1" max="1" width="9.125" style="1" customWidth="1"/>
    <col min="2" max="2" width="9.75390625" style="1" hidden="1" customWidth="1"/>
    <col min="3" max="3" width="10.75390625" style="1" customWidth="1"/>
    <col min="4" max="4" width="10.375" style="1" customWidth="1"/>
    <col min="5" max="5" width="10.75390625" style="1" customWidth="1"/>
    <col min="6" max="6" width="12.00390625" style="1" customWidth="1"/>
    <col min="7" max="7" width="9.375" style="1" bestFit="1" customWidth="1"/>
    <col min="8" max="8" width="9.25390625" style="1" bestFit="1" customWidth="1"/>
    <col min="9" max="9" width="11.25390625" style="1" customWidth="1"/>
    <col min="10" max="11" width="11.25390625" style="1" bestFit="1" customWidth="1"/>
    <col min="12" max="12" width="0" style="1" hidden="1" customWidth="1"/>
    <col min="13" max="13" width="9.375" style="1" customWidth="1"/>
    <col min="14" max="14" width="9.375" style="1" bestFit="1" customWidth="1"/>
    <col min="15" max="15" width="9.625" style="1" bestFit="1" customWidth="1"/>
    <col min="16" max="16" width="10.25390625" style="1" customWidth="1"/>
    <col min="17" max="18" width="9.625" style="1" bestFit="1" customWidth="1"/>
    <col min="19" max="19" width="9.25390625" style="1" customWidth="1"/>
    <col min="20" max="20" width="11.25390625" style="1" bestFit="1" customWidth="1"/>
    <col min="21" max="21" width="14.125" style="1" customWidth="1"/>
    <col min="22" max="22" width="10.375" style="1" hidden="1" customWidth="1"/>
    <col min="23" max="23" width="11.375" style="1" customWidth="1"/>
    <col min="24" max="24" width="9.875" style="1" customWidth="1"/>
    <col min="25" max="25" width="11.00390625" style="1" customWidth="1"/>
    <col min="26" max="27" width="11.75390625" style="1" bestFit="1" customWidth="1"/>
    <col min="28" max="28" width="10.75390625" style="1" bestFit="1" customWidth="1"/>
    <col min="29" max="29" width="11.75390625" style="1" bestFit="1" customWidth="1"/>
    <col min="30" max="30" width="11.25390625" style="1" bestFit="1" customWidth="1"/>
    <col min="31" max="31" width="16.25390625" style="1" customWidth="1"/>
    <col min="32" max="16384" width="9.125" style="1" customWidth="1"/>
  </cols>
  <sheetData>
    <row r="8" spans="1:31" ht="12.75" customHeight="1">
      <c r="A8" s="75" t="s">
        <v>0</v>
      </c>
      <c r="B8" s="73" t="s">
        <v>1</v>
      </c>
      <c r="C8" s="79"/>
      <c r="D8" s="79"/>
      <c r="E8" s="79"/>
      <c r="F8" s="79"/>
      <c r="G8" s="8"/>
      <c r="H8" s="82" t="s">
        <v>21</v>
      </c>
      <c r="I8" s="82"/>
      <c r="J8" s="82"/>
      <c r="K8" s="82" t="s">
        <v>20</v>
      </c>
      <c r="L8" s="73" t="s">
        <v>29</v>
      </c>
      <c r="M8" s="79"/>
      <c r="N8" s="79"/>
      <c r="O8" s="79"/>
      <c r="P8" s="79"/>
      <c r="Q8" s="8"/>
      <c r="R8" s="82" t="s">
        <v>21</v>
      </c>
      <c r="S8" s="82"/>
      <c r="T8" s="82"/>
      <c r="U8" s="69" t="s">
        <v>20</v>
      </c>
      <c r="V8" s="73" t="s">
        <v>2</v>
      </c>
      <c r="W8" s="79"/>
      <c r="X8" s="79"/>
      <c r="Y8" s="79"/>
      <c r="Z8" s="79"/>
      <c r="AA8" s="8"/>
      <c r="AB8" s="82" t="s">
        <v>21</v>
      </c>
      <c r="AC8" s="82"/>
      <c r="AD8" s="82"/>
      <c r="AE8" s="82" t="s">
        <v>20</v>
      </c>
    </row>
    <row r="9" spans="1:31" ht="12.75">
      <c r="A9" s="84"/>
      <c r="B9" s="73" t="s">
        <v>3</v>
      </c>
      <c r="C9" s="83"/>
      <c r="D9" s="83"/>
      <c r="E9" s="83"/>
      <c r="F9" s="83"/>
      <c r="G9" s="9"/>
      <c r="H9" s="82"/>
      <c r="I9" s="82"/>
      <c r="J9" s="82"/>
      <c r="K9" s="82"/>
      <c r="L9" s="73" t="s">
        <v>3</v>
      </c>
      <c r="M9" s="83"/>
      <c r="N9" s="83"/>
      <c r="O9" s="83"/>
      <c r="P9" s="83"/>
      <c r="Q9" s="9"/>
      <c r="R9" s="82"/>
      <c r="S9" s="82"/>
      <c r="T9" s="82"/>
      <c r="U9" s="80"/>
      <c r="V9" s="73" t="s">
        <v>3</v>
      </c>
      <c r="W9" s="79"/>
      <c r="X9" s="79"/>
      <c r="Y9" s="79"/>
      <c r="Z9" s="79"/>
      <c r="AA9" s="9"/>
      <c r="AB9" s="82"/>
      <c r="AC9" s="82"/>
      <c r="AD9" s="82"/>
      <c r="AE9" s="82"/>
    </row>
    <row r="10" spans="1:31" ht="12.75">
      <c r="A10" s="84"/>
      <c r="B10" s="75" t="s">
        <v>4</v>
      </c>
      <c r="C10" s="75" t="s">
        <v>6</v>
      </c>
      <c r="D10" s="73" t="s">
        <v>5</v>
      </c>
      <c r="E10" s="79"/>
      <c r="F10" s="74"/>
      <c r="G10" s="75" t="s">
        <v>19</v>
      </c>
      <c r="H10" s="82"/>
      <c r="I10" s="82"/>
      <c r="J10" s="82"/>
      <c r="K10" s="82"/>
      <c r="L10" s="75" t="s">
        <v>6</v>
      </c>
      <c r="M10" s="75" t="s">
        <v>6</v>
      </c>
      <c r="N10" s="73" t="s">
        <v>5</v>
      </c>
      <c r="O10" s="79"/>
      <c r="P10" s="74"/>
      <c r="Q10" s="75" t="s">
        <v>19</v>
      </c>
      <c r="R10" s="82"/>
      <c r="S10" s="82"/>
      <c r="T10" s="82"/>
      <c r="U10" s="80"/>
      <c r="V10" s="75" t="s">
        <v>6</v>
      </c>
      <c r="W10" s="75" t="s">
        <v>6</v>
      </c>
      <c r="X10" s="73" t="s">
        <v>5</v>
      </c>
      <c r="Y10" s="79"/>
      <c r="Z10" s="74"/>
      <c r="AA10" s="75" t="s">
        <v>19</v>
      </c>
      <c r="AB10" s="82"/>
      <c r="AC10" s="82"/>
      <c r="AD10" s="82"/>
      <c r="AE10" s="82"/>
    </row>
    <row r="11" spans="1:31" ht="12.75">
      <c r="A11" s="84"/>
      <c r="B11" s="84"/>
      <c r="C11" s="84"/>
      <c r="D11" s="73" t="s">
        <v>7</v>
      </c>
      <c r="E11" s="74"/>
      <c r="F11" s="75" t="s">
        <v>8</v>
      </c>
      <c r="G11" s="76"/>
      <c r="H11" s="77" t="s">
        <v>7</v>
      </c>
      <c r="I11" s="78"/>
      <c r="J11" s="69" t="s">
        <v>8</v>
      </c>
      <c r="K11" s="82"/>
      <c r="L11" s="84"/>
      <c r="M11" s="84"/>
      <c r="N11" s="73" t="s">
        <v>7</v>
      </c>
      <c r="O11" s="74"/>
      <c r="P11" s="75" t="s">
        <v>8</v>
      </c>
      <c r="Q11" s="76"/>
      <c r="R11" s="67" t="s">
        <v>7</v>
      </c>
      <c r="S11" s="68"/>
      <c r="T11" s="69" t="s">
        <v>8</v>
      </c>
      <c r="U11" s="80"/>
      <c r="V11" s="84"/>
      <c r="W11" s="84"/>
      <c r="X11" s="73" t="s">
        <v>7</v>
      </c>
      <c r="Y11" s="74"/>
      <c r="Z11" s="75" t="s">
        <v>8</v>
      </c>
      <c r="AA11" s="76"/>
      <c r="AB11" s="67" t="s">
        <v>7</v>
      </c>
      <c r="AC11" s="68"/>
      <c r="AD11" s="69" t="s">
        <v>8</v>
      </c>
      <c r="AE11" s="82"/>
    </row>
    <row r="12" spans="1:31" ht="51" customHeight="1">
      <c r="A12" s="76"/>
      <c r="B12" s="76"/>
      <c r="C12" s="76"/>
      <c r="D12" s="2" t="s">
        <v>9</v>
      </c>
      <c r="E12" s="2" t="s">
        <v>10</v>
      </c>
      <c r="F12" s="76"/>
      <c r="G12" s="2" t="s">
        <v>9</v>
      </c>
      <c r="H12" s="10" t="s">
        <v>9</v>
      </c>
      <c r="I12" s="10" t="s">
        <v>10</v>
      </c>
      <c r="J12" s="70"/>
      <c r="K12" s="82"/>
      <c r="L12" s="76"/>
      <c r="M12" s="76"/>
      <c r="N12" s="2" t="s">
        <v>9</v>
      </c>
      <c r="O12" s="2" t="s">
        <v>10</v>
      </c>
      <c r="P12" s="76"/>
      <c r="Q12" s="2" t="s">
        <v>9</v>
      </c>
      <c r="R12" s="10" t="s">
        <v>9</v>
      </c>
      <c r="S12" s="10" t="s">
        <v>10</v>
      </c>
      <c r="T12" s="70"/>
      <c r="U12" s="70"/>
      <c r="V12" s="76"/>
      <c r="W12" s="76"/>
      <c r="X12" s="2" t="s">
        <v>9</v>
      </c>
      <c r="Y12" s="2" t="s">
        <v>10</v>
      </c>
      <c r="Z12" s="76"/>
      <c r="AA12" s="2" t="s">
        <v>9</v>
      </c>
      <c r="AB12" s="10" t="s">
        <v>9</v>
      </c>
      <c r="AC12" s="10" t="s">
        <v>10</v>
      </c>
      <c r="AD12" s="70"/>
      <c r="AE12" s="82"/>
    </row>
    <row r="13" spans="1:31" ht="12.75">
      <c r="A13" s="3"/>
      <c r="B13" s="3"/>
      <c r="C13" s="3"/>
      <c r="D13" s="3"/>
      <c r="E13" s="3"/>
      <c r="F13" s="3"/>
      <c r="G13" s="3"/>
      <c r="H13" s="11"/>
      <c r="I13" s="11"/>
      <c r="J13" s="4"/>
      <c r="K13" s="4"/>
      <c r="L13" s="3"/>
      <c r="M13" s="3"/>
      <c r="N13" s="3"/>
      <c r="O13" s="3"/>
      <c r="P13" s="3"/>
      <c r="Q13" s="3"/>
      <c r="R13" s="11"/>
      <c r="S13" s="11"/>
      <c r="T13" s="4"/>
      <c r="U13" s="5"/>
      <c r="V13" s="3"/>
      <c r="W13" s="3"/>
      <c r="X13" s="3"/>
      <c r="Y13" s="3"/>
      <c r="Z13" s="3"/>
      <c r="AA13" s="3"/>
      <c r="AB13" s="11"/>
      <c r="AC13" s="11"/>
      <c r="AD13" s="4"/>
      <c r="AE13" s="5"/>
    </row>
    <row r="14" spans="1:31" ht="12.75">
      <c r="A14" s="3" t="s">
        <v>11</v>
      </c>
      <c r="B14" s="12">
        <v>1004789.49</v>
      </c>
      <c r="C14" s="14">
        <v>1004789.49</v>
      </c>
      <c r="D14" s="14">
        <f>H14-G14</f>
        <v>467695.84</v>
      </c>
      <c r="E14" s="14">
        <f>I14</f>
        <v>1204972.94</v>
      </c>
      <c r="F14" s="14">
        <f>SUM(D14:E14)</f>
        <v>1672668.78</v>
      </c>
      <c r="G14" s="14">
        <v>356629.67</v>
      </c>
      <c r="H14" s="15">
        <v>824325.51</v>
      </c>
      <c r="I14" s="15">
        <v>1204972.94</v>
      </c>
      <c r="J14" s="16">
        <f>SUM(F14+G14)</f>
        <v>2029298.45</v>
      </c>
      <c r="K14" s="16">
        <f>SUM(C14+J14)</f>
        <v>3034087.94</v>
      </c>
      <c r="M14" s="14">
        <f>C14-1004789.49</f>
        <v>0</v>
      </c>
      <c r="N14" s="14">
        <f>R14-Q14</f>
        <v>6208</v>
      </c>
      <c r="O14" s="14">
        <f>E14-1036088.99</f>
        <v>168883.94999999995</v>
      </c>
      <c r="P14" s="14">
        <f>SUM(N14:O14)</f>
        <v>175091.94999999995</v>
      </c>
      <c r="Q14" s="14">
        <f>G14-326573.09</f>
        <v>30056.579999999958</v>
      </c>
      <c r="R14" s="15">
        <f>H14-788060.93</f>
        <v>36264.57999999996</v>
      </c>
      <c r="S14" s="15">
        <f>O14</f>
        <v>168883.94999999995</v>
      </c>
      <c r="T14" s="16">
        <f>SUM(P14+Q14)</f>
        <v>205148.5299999999</v>
      </c>
      <c r="U14" s="17">
        <f>SUM(M14+T14)</f>
        <v>205148.5299999999</v>
      </c>
      <c r="V14" s="18"/>
      <c r="W14" s="14">
        <v>1331757.33</v>
      </c>
      <c r="X14" s="14">
        <f>AB14-AA14</f>
        <v>432802.88</v>
      </c>
      <c r="Y14" s="14">
        <v>665372.22</v>
      </c>
      <c r="Z14" s="14">
        <f>SUM(X14:Y14)</f>
        <v>1098175.1</v>
      </c>
      <c r="AA14" s="14">
        <v>265015.1</v>
      </c>
      <c r="AB14" s="15">
        <v>697817.98</v>
      </c>
      <c r="AC14" s="15">
        <v>665372.22</v>
      </c>
      <c r="AD14" s="16">
        <f>SUM(Z14+AA14)</f>
        <v>1363190.2000000002</v>
      </c>
      <c r="AE14" s="17">
        <f>SUM(W14+AD14)</f>
        <v>2694947.5300000003</v>
      </c>
    </row>
    <row r="15" spans="1:31" ht="12.75">
      <c r="A15" s="3"/>
      <c r="B15" s="12"/>
      <c r="C15" s="14"/>
      <c r="D15" s="14"/>
      <c r="E15" s="14"/>
      <c r="F15" s="14"/>
      <c r="G15" s="14"/>
      <c r="H15" s="11"/>
      <c r="I15" s="11"/>
      <c r="J15" s="16"/>
      <c r="K15" s="16"/>
      <c r="M15" s="14"/>
      <c r="N15" s="14"/>
      <c r="O15" s="14"/>
      <c r="P15" s="14"/>
      <c r="Q15" s="14"/>
      <c r="R15" s="15"/>
      <c r="S15" s="15"/>
      <c r="T15" s="16"/>
      <c r="U15" s="17"/>
      <c r="V15" s="18"/>
      <c r="W15" s="14"/>
      <c r="X15" s="14"/>
      <c r="Y15" s="14"/>
      <c r="Z15" s="14"/>
      <c r="AA15" s="14"/>
      <c r="AB15" s="15"/>
      <c r="AC15" s="15"/>
      <c r="AD15" s="16"/>
      <c r="AE15" s="17"/>
    </row>
    <row r="16" spans="1:31" ht="12.75">
      <c r="A16" s="3" t="s">
        <v>12</v>
      </c>
      <c r="B16" s="12">
        <v>280664.21</v>
      </c>
      <c r="C16" s="14">
        <v>295100.32</v>
      </c>
      <c r="D16" s="14">
        <f>H16-G16</f>
        <v>29325.499999999996</v>
      </c>
      <c r="E16" s="14">
        <f>I16</f>
        <v>47603.97</v>
      </c>
      <c r="F16" s="14">
        <f>SUM(D16:E16)</f>
        <v>76929.47</v>
      </c>
      <c r="G16" s="14">
        <v>8958.77</v>
      </c>
      <c r="H16" s="15">
        <v>38284.27</v>
      </c>
      <c r="I16" s="15">
        <v>47603.97</v>
      </c>
      <c r="J16" s="16">
        <f>SUM(F16+G16)</f>
        <v>85888.24</v>
      </c>
      <c r="K16" s="16">
        <f>SUM(C16+J16)</f>
        <v>380988.56</v>
      </c>
      <c r="M16" s="14">
        <f>C16-290499.19</f>
        <v>4601.130000000005</v>
      </c>
      <c r="N16" s="14">
        <f>R16-Q16</f>
        <v>2576.6299999999983</v>
      </c>
      <c r="O16" s="14">
        <f>E16-39583.77</f>
        <v>8020.200000000004</v>
      </c>
      <c r="P16" s="14">
        <f>SUM(N16:O16)</f>
        <v>10596.830000000002</v>
      </c>
      <c r="Q16" s="14">
        <f>G16-7961.69</f>
        <v>997.0800000000008</v>
      </c>
      <c r="R16" s="15">
        <f>H16-34710.56</f>
        <v>3573.709999999999</v>
      </c>
      <c r="S16" s="15">
        <f>O16</f>
        <v>8020.200000000004</v>
      </c>
      <c r="T16" s="16">
        <f>SUM(P16+Q16)</f>
        <v>11593.910000000003</v>
      </c>
      <c r="U16" s="17">
        <f>SUM(M16+T16)</f>
        <v>16195.040000000008</v>
      </c>
      <c r="V16" s="18"/>
      <c r="W16" s="14">
        <v>331142.37</v>
      </c>
      <c r="X16" s="14">
        <f>AB16-AA16</f>
        <v>21435.98</v>
      </c>
      <c r="Y16" s="14">
        <v>31030.53</v>
      </c>
      <c r="Z16" s="14">
        <f>SUM(X16:Y16)</f>
        <v>52466.509999999995</v>
      </c>
      <c r="AA16" s="14">
        <v>3272.86</v>
      </c>
      <c r="AB16" s="15">
        <v>24708.84</v>
      </c>
      <c r="AC16" s="15">
        <v>31030.53</v>
      </c>
      <c r="AD16" s="16">
        <f>SUM(Z16+AA16)</f>
        <v>55739.369999999995</v>
      </c>
      <c r="AE16" s="17">
        <f>SUM(W16+AD16)</f>
        <v>386881.74</v>
      </c>
    </row>
    <row r="17" spans="1:31" ht="12.75">
      <c r="A17" s="3"/>
      <c r="B17" s="12"/>
      <c r="C17" s="14"/>
      <c r="D17" s="14"/>
      <c r="E17" s="14"/>
      <c r="F17" s="14"/>
      <c r="G17" s="14"/>
      <c r="H17" s="11"/>
      <c r="I17" s="11"/>
      <c r="J17" s="16"/>
      <c r="K17" s="16"/>
      <c r="M17" s="14"/>
      <c r="N17" s="14"/>
      <c r="O17" s="14"/>
      <c r="P17" s="14"/>
      <c r="Q17" s="14"/>
      <c r="R17" s="15"/>
      <c r="S17" s="15"/>
      <c r="T17" s="16"/>
      <c r="U17" s="17"/>
      <c r="V17" s="18"/>
      <c r="W17" s="14"/>
      <c r="X17" s="14"/>
      <c r="Y17" s="14"/>
      <c r="Z17" s="14"/>
      <c r="AA17" s="14"/>
      <c r="AB17" s="15"/>
      <c r="AC17" s="15"/>
      <c r="AD17" s="16"/>
      <c r="AE17" s="17"/>
    </row>
    <row r="18" spans="1:31" ht="12.75">
      <c r="A18" s="3" t="s">
        <v>13</v>
      </c>
      <c r="B18" s="13">
        <v>9284.75</v>
      </c>
      <c r="C18" s="14">
        <v>10377.07</v>
      </c>
      <c r="D18" s="14">
        <f>H18-G18</f>
        <v>17089.16</v>
      </c>
      <c r="E18" s="14">
        <f>I18</f>
        <v>17754.46</v>
      </c>
      <c r="F18" s="14">
        <f>SUM(D18:E18)</f>
        <v>34843.619999999995</v>
      </c>
      <c r="G18" s="14">
        <v>224</v>
      </c>
      <c r="H18" s="15">
        <v>17313.16</v>
      </c>
      <c r="I18" s="15">
        <v>17754.46</v>
      </c>
      <c r="J18" s="16">
        <f>SUM(F18+G18)</f>
        <v>35067.619999999995</v>
      </c>
      <c r="K18" s="16">
        <f>SUM(C18+J18)</f>
        <v>45444.689999999995</v>
      </c>
      <c r="M18" s="14">
        <f>C18-10377.07</f>
        <v>0</v>
      </c>
      <c r="N18" s="14">
        <f>R18-Q18</f>
        <v>0</v>
      </c>
      <c r="O18" s="14">
        <f>E18-15654.95</f>
        <v>2099.5099999999984</v>
      </c>
      <c r="P18" s="14">
        <f>SUM(N18:O18)</f>
        <v>2099.5099999999984</v>
      </c>
      <c r="Q18" s="14">
        <f>G18-0</f>
        <v>224</v>
      </c>
      <c r="R18" s="15">
        <f>H18-17089.16</f>
        <v>224</v>
      </c>
      <c r="S18" s="15">
        <f>O18</f>
        <v>2099.5099999999984</v>
      </c>
      <c r="T18" s="16">
        <f>SUM(P18+Q18)</f>
        <v>2323.5099999999984</v>
      </c>
      <c r="U18" s="17">
        <f>SUM(M18+T18)</f>
        <v>2323.5099999999984</v>
      </c>
      <c r="V18" s="18"/>
      <c r="W18" s="14">
        <v>5744.92</v>
      </c>
      <c r="X18" s="14">
        <f>AB18-AA18</f>
        <v>9336.54</v>
      </c>
      <c r="Y18" s="14">
        <v>14418.48</v>
      </c>
      <c r="Z18" s="14">
        <f>SUM(X18:Y18)</f>
        <v>23755.02</v>
      </c>
      <c r="AA18" s="14">
        <v>0</v>
      </c>
      <c r="AB18" s="15">
        <v>9336.54</v>
      </c>
      <c r="AC18" s="15">
        <v>14418.48</v>
      </c>
      <c r="AD18" s="16">
        <f>SUM(Z18+AA18)</f>
        <v>23755.02</v>
      </c>
      <c r="AE18" s="17">
        <f>SUM(W18+AD18)</f>
        <v>29499.940000000002</v>
      </c>
    </row>
    <row r="19" spans="1:31" ht="12.75">
      <c r="A19" s="3"/>
      <c r="B19" s="12"/>
      <c r="C19" s="14"/>
      <c r="D19" s="14"/>
      <c r="E19" s="14"/>
      <c r="F19" s="14"/>
      <c r="G19" s="14"/>
      <c r="H19" s="11"/>
      <c r="I19" s="11"/>
      <c r="J19" s="16"/>
      <c r="K19" s="16"/>
      <c r="M19" s="14"/>
      <c r="N19" s="14"/>
      <c r="O19" s="14"/>
      <c r="P19" s="14"/>
      <c r="Q19" s="14"/>
      <c r="R19" s="15"/>
      <c r="S19" s="15"/>
      <c r="T19" s="16"/>
      <c r="U19" s="17"/>
      <c r="V19" s="18"/>
      <c r="W19" s="14"/>
      <c r="X19" s="14"/>
      <c r="Y19" s="14"/>
      <c r="Z19" s="14"/>
      <c r="AA19" s="14"/>
      <c r="AB19" s="15"/>
      <c r="AC19" s="15"/>
      <c r="AD19" s="16"/>
      <c r="AE19" s="17"/>
    </row>
    <row r="20" spans="1:31" ht="12.75">
      <c r="A20" s="3" t="s">
        <v>14</v>
      </c>
      <c r="B20" s="13">
        <v>4500</v>
      </c>
      <c r="C20" s="14">
        <v>4500</v>
      </c>
      <c r="D20" s="14"/>
      <c r="E20" s="14"/>
      <c r="F20" s="14">
        <v>0</v>
      </c>
      <c r="G20" s="14"/>
      <c r="H20" s="11"/>
      <c r="I20" s="11"/>
      <c r="J20" s="16">
        <f>SUM(E20)</f>
        <v>0</v>
      </c>
      <c r="K20" s="16">
        <f>SUM(C20+J20)</f>
        <v>4500</v>
      </c>
      <c r="M20" s="19"/>
      <c r="N20" s="19"/>
      <c r="O20" s="19"/>
      <c r="P20" s="19"/>
      <c r="Q20" s="19"/>
      <c r="R20" s="15"/>
      <c r="S20" s="15"/>
      <c r="T20" s="16">
        <f>SUM(O20)</f>
        <v>0</v>
      </c>
      <c r="U20" s="17">
        <f>SUM(M20+T20)</f>
        <v>0</v>
      </c>
      <c r="V20" s="18"/>
      <c r="W20" s="14">
        <v>4500</v>
      </c>
      <c r="X20" s="14"/>
      <c r="Y20" s="14"/>
      <c r="Z20" s="14"/>
      <c r="AA20" s="14"/>
      <c r="AB20" s="15"/>
      <c r="AC20" s="15"/>
      <c r="AD20" s="16">
        <f>SUM(Y20)</f>
        <v>0</v>
      </c>
      <c r="AE20" s="17">
        <f>SUM(W20+AD20)</f>
        <v>4500</v>
      </c>
    </row>
    <row r="22" spans="23:27" ht="12.75">
      <c r="W22" s="6"/>
      <c r="X22" s="6">
        <v>12.2607</v>
      </c>
      <c r="Y22" s="7" t="s">
        <v>15</v>
      </c>
      <c r="Z22" s="1">
        <v>15.2358</v>
      </c>
      <c r="AA22" s="1" t="s">
        <v>16</v>
      </c>
    </row>
    <row r="23" spans="1:31" ht="12.75" customHeight="1">
      <c r="A23" s="75" t="s">
        <v>0</v>
      </c>
      <c r="B23" s="73" t="s">
        <v>30</v>
      </c>
      <c r="C23" s="79"/>
      <c r="D23" s="79"/>
      <c r="E23" s="79"/>
      <c r="F23" s="79"/>
      <c r="G23" s="8"/>
      <c r="H23" s="82" t="s">
        <v>21</v>
      </c>
      <c r="I23" s="82"/>
      <c r="J23" s="82"/>
      <c r="K23" s="82" t="s">
        <v>20</v>
      </c>
      <c r="L23" s="73" t="s">
        <v>17</v>
      </c>
      <c r="M23" s="79"/>
      <c r="N23" s="79"/>
      <c r="O23" s="79"/>
      <c r="P23" s="79"/>
      <c r="Q23" s="8"/>
      <c r="R23" s="82" t="s">
        <v>21</v>
      </c>
      <c r="S23" s="82"/>
      <c r="T23" s="82"/>
      <c r="U23" s="69" t="s">
        <v>20</v>
      </c>
      <c r="V23" s="67" t="s">
        <v>32</v>
      </c>
      <c r="W23" s="81"/>
      <c r="X23" s="81"/>
      <c r="Y23" s="81"/>
      <c r="Z23" s="81"/>
      <c r="AA23" s="8"/>
      <c r="AB23" s="82" t="s">
        <v>21</v>
      </c>
      <c r="AC23" s="82"/>
      <c r="AD23" s="82"/>
      <c r="AE23" s="82" t="s">
        <v>20</v>
      </c>
    </row>
    <row r="24" spans="1:31" ht="12.75">
      <c r="A24" s="84"/>
      <c r="B24" s="73" t="s">
        <v>3</v>
      </c>
      <c r="C24" s="83"/>
      <c r="D24" s="83"/>
      <c r="E24" s="83"/>
      <c r="F24" s="83"/>
      <c r="G24" s="9"/>
      <c r="H24" s="82"/>
      <c r="I24" s="82"/>
      <c r="J24" s="82"/>
      <c r="K24" s="82"/>
      <c r="L24" s="73" t="s">
        <v>3</v>
      </c>
      <c r="M24" s="83"/>
      <c r="N24" s="83"/>
      <c r="O24" s="83"/>
      <c r="P24" s="83"/>
      <c r="Q24" s="9"/>
      <c r="R24" s="82"/>
      <c r="S24" s="82"/>
      <c r="T24" s="82"/>
      <c r="U24" s="80"/>
      <c r="V24" s="73" t="s">
        <v>3</v>
      </c>
      <c r="W24" s="79"/>
      <c r="X24" s="79"/>
      <c r="Y24" s="79"/>
      <c r="Z24" s="79"/>
      <c r="AA24" s="9"/>
      <c r="AB24" s="82"/>
      <c r="AC24" s="82"/>
      <c r="AD24" s="82"/>
      <c r="AE24" s="82"/>
    </row>
    <row r="25" spans="1:31" ht="12.75">
      <c r="A25" s="84"/>
      <c r="B25" s="75" t="s">
        <v>6</v>
      </c>
      <c r="C25" s="75" t="s">
        <v>22</v>
      </c>
      <c r="D25" s="73" t="s">
        <v>5</v>
      </c>
      <c r="E25" s="79"/>
      <c r="F25" s="74"/>
      <c r="G25" s="75" t="s">
        <v>19</v>
      </c>
      <c r="H25" s="82"/>
      <c r="I25" s="82"/>
      <c r="J25" s="82"/>
      <c r="K25" s="82"/>
      <c r="L25" s="75" t="s">
        <v>6</v>
      </c>
      <c r="M25" s="75" t="s">
        <v>6</v>
      </c>
      <c r="N25" s="73" t="s">
        <v>5</v>
      </c>
      <c r="O25" s="79"/>
      <c r="P25" s="74"/>
      <c r="Q25" s="75" t="s">
        <v>19</v>
      </c>
      <c r="R25" s="82"/>
      <c r="S25" s="82"/>
      <c r="T25" s="82"/>
      <c r="U25" s="80"/>
      <c r="V25" s="75" t="s">
        <v>6</v>
      </c>
      <c r="W25" s="75" t="s">
        <v>22</v>
      </c>
      <c r="X25" s="73" t="s">
        <v>5</v>
      </c>
      <c r="Y25" s="79"/>
      <c r="Z25" s="74"/>
      <c r="AA25" s="75" t="s">
        <v>19</v>
      </c>
      <c r="AB25" s="82"/>
      <c r="AC25" s="82"/>
      <c r="AD25" s="82"/>
      <c r="AE25" s="82"/>
    </row>
    <row r="26" spans="1:31" ht="12.75">
      <c r="A26" s="84"/>
      <c r="B26" s="84"/>
      <c r="C26" s="84"/>
      <c r="D26" s="73" t="s">
        <v>7</v>
      </c>
      <c r="E26" s="74"/>
      <c r="F26" s="75" t="s">
        <v>8</v>
      </c>
      <c r="G26" s="76"/>
      <c r="H26" s="77" t="s">
        <v>7</v>
      </c>
      <c r="I26" s="78"/>
      <c r="J26" s="69" t="s">
        <v>8</v>
      </c>
      <c r="K26" s="82"/>
      <c r="L26" s="84"/>
      <c r="M26" s="84"/>
      <c r="N26" s="73" t="s">
        <v>7</v>
      </c>
      <c r="O26" s="74"/>
      <c r="P26" s="75" t="s">
        <v>8</v>
      </c>
      <c r="Q26" s="76"/>
      <c r="R26" s="67" t="s">
        <v>7</v>
      </c>
      <c r="S26" s="68"/>
      <c r="T26" s="69" t="s">
        <v>8</v>
      </c>
      <c r="U26" s="80"/>
      <c r="V26" s="84"/>
      <c r="W26" s="84"/>
      <c r="X26" s="73" t="s">
        <v>7</v>
      </c>
      <c r="Y26" s="74"/>
      <c r="Z26" s="75" t="s">
        <v>8</v>
      </c>
      <c r="AA26" s="76"/>
      <c r="AB26" s="67" t="s">
        <v>7</v>
      </c>
      <c r="AC26" s="68"/>
      <c r="AD26" s="69" t="s">
        <v>8</v>
      </c>
      <c r="AE26" s="82"/>
    </row>
    <row r="27" spans="1:31" ht="25.5">
      <c r="A27" s="76"/>
      <c r="B27" s="76"/>
      <c r="C27" s="76"/>
      <c r="D27" s="2" t="s">
        <v>9</v>
      </c>
      <c r="E27" s="2" t="s">
        <v>10</v>
      </c>
      <c r="F27" s="76"/>
      <c r="G27" s="2" t="s">
        <v>9</v>
      </c>
      <c r="H27" s="10" t="s">
        <v>9</v>
      </c>
      <c r="I27" s="10" t="s">
        <v>10</v>
      </c>
      <c r="J27" s="70"/>
      <c r="K27" s="82"/>
      <c r="L27" s="76"/>
      <c r="M27" s="76"/>
      <c r="N27" s="2" t="s">
        <v>9</v>
      </c>
      <c r="O27" s="2" t="s">
        <v>10</v>
      </c>
      <c r="P27" s="76"/>
      <c r="Q27" s="2" t="s">
        <v>9</v>
      </c>
      <c r="R27" s="10" t="s">
        <v>9</v>
      </c>
      <c r="S27" s="10" t="s">
        <v>10</v>
      </c>
      <c r="T27" s="70"/>
      <c r="U27" s="70"/>
      <c r="V27" s="76"/>
      <c r="W27" s="76"/>
      <c r="X27" s="2" t="s">
        <v>9</v>
      </c>
      <c r="Y27" s="2" t="s">
        <v>10</v>
      </c>
      <c r="Z27" s="76"/>
      <c r="AA27" s="2" t="s">
        <v>9</v>
      </c>
      <c r="AB27" s="10" t="s">
        <v>9</v>
      </c>
      <c r="AC27" s="10" t="s">
        <v>10</v>
      </c>
      <c r="AD27" s="70"/>
      <c r="AE27" s="82"/>
    </row>
    <row r="28" spans="1:31" ht="12.75">
      <c r="A28" s="3"/>
      <c r="B28" s="3"/>
      <c r="C28" s="3"/>
      <c r="D28" s="3"/>
      <c r="E28" s="3"/>
      <c r="F28" s="3"/>
      <c r="G28" s="3"/>
      <c r="H28" s="11"/>
      <c r="I28" s="11"/>
      <c r="J28" s="5"/>
      <c r="K28" s="5"/>
      <c r="L28" s="3"/>
      <c r="M28" s="3"/>
      <c r="N28" s="3"/>
      <c r="O28" s="3"/>
      <c r="P28" s="3"/>
      <c r="Q28" s="3"/>
      <c r="R28" s="11"/>
      <c r="S28" s="11"/>
      <c r="T28" s="5"/>
      <c r="U28" s="5"/>
      <c r="V28" s="3"/>
      <c r="W28" s="3"/>
      <c r="X28" s="3"/>
      <c r="Y28" s="3"/>
      <c r="Z28" s="3"/>
      <c r="AA28" s="3"/>
      <c r="AB28" s="11"/>
      <c r="AC28" s="11"/>
      <c r="AD28" s="5"/>
      <c r="AE28" s="5"/>
    </row>
    <row r="29" spans="1:31" ht="12.75">
      <c r="A29" s="3" t="s">
        <v>11</v>
      </c>
      <c r="B29" s="12">
        <f>W14-1248437.65</f>
        <v>83319.68000000017</v>
      </c>
      <c r="C29" s="14">
        <f>W14-1324988.9</f>
        <v>6768.430000000168</v>
      </c>
      <c r="D29" s="14">
        <f>H29-G29</f>
        <v>52994.97999999998</v>
      </c>
      <c r="E29" s="14">
        <f>Y14-565083.16</f>
        <v>100289.05999999994</v>
      </c>
      <c r="F29" s="14">
        <f>SUM(D29:E29)</f>
        <v>153284.03999999992</v>
      </c>
      <c r="G29" s="14">
        <f>AA14-227573.11</f>
        <v>37441.98999999999</v>
      </c>
      <c r="H29" s="15">
        <f>AB14-607381.01</f>
        <v>90436.96999999997</v>
      </c>
      <c r="I29" s="15">
        <f>E29</f>
        <v>100289.05999999994</v>
      </c>
      <c r="J29" s="17">
        <f>SUM(F29+G29)</f>
        <v>190726.0299999999</v>
      </c>
      <c r="K29" s="17">
        <f>SUM(C29+J29)</f>
        <v>197494.46000000008</v>
      </c>
      <c r="L29" s="14">
        <v>428694.72</v>
      </c>
      <c r="M29" s="14">
        <v>349229.98</v>
      </c>
      <c r="N29" s="14">
        <f>R29-Q29</f>
        <v>236307.64</v>
      </c>
      <c r="O29" s="14">
        <v>775389.8</v>
      </c>
      <c r="P29" s="14">
        <f>SUM(N29:O29)</f>
        <v>1011697.4400000001</v>
      </c>
      <c r="Q29" s="14">
        <v>164501.01</v>
      </c>
      <c r="R29" s="15">
        <v>400808.65</v>
      </c>
      <c r="S29" s="15">
        <f>SUM(O29)</f>
        <v>775389.8</v>
      </c>
      <c r="T29" s="17">
        <f>SUM(P29+Q29)</f>
        <v>1176198.4500000002</v>
      </c>
      <c r="U29" s="17">
        <f>SUM(M29+T29)</f>
        <v>1525428.4300000002</v>
      </c>
      <c r="V29" s="18"/>
      <c r="W29" s="14">
        <f>M29</f>
        <v>349229.98</v>
      </c>
      <c r="X29" s="14">
        <f>AB29-AA29</f>
        <v>236307.64</v>
      </c>
      <c r="Y29" s="14">
        <f>O29</f>
        <v>775389.8</v>
      </c>
      <c r="Z29" s="14">
        <f>SUM(X29:Y29)</f>
        <v>1011697.4400000001</v>
      </c>
      <c r="AA29" s="14">
        <f>Q29</f>
        <v>164501.01</v>
      </c>
      <c r="AB29" s="15">
        <f>R29</f>
        <v>400808.65</v>
      </c>
      <c r="AC29" s="15">
        <f>SUM(Y29)</f>
        <v>775389.8</v>
      </c>
      <c r="AD29" s="17">
        <f>SUM(Z29+AA29)</f>
        <v>1176198.4500000002</v>
      </c>
      <c r="AE29" s="17">
        <f>SUM(W29+AD29)</f>
        <v>1525428.4300000002</v>
      </c>
    </row>
    <row r="30" spans="1:31" ht="12.75">
      <c r="A30" s="3"/>
      <c r="B30" s="12"/>
      <c r="C30" s="14"/>
      <c r="D30" s="14"/>
      <c r="E30" s="14"/>
      <c r="F30" s="14"/>
      <c r="G30" s="14"/>
      <c r="H30" s="15"/>
      <c r="I30" s="15"/>
      <c r="J30" s="17"/>
      <c r="K30" s="17"/>
      <c r="L30" s="14"/>
      <c r="M30" s="14"/>
      <c r="N30" s="14"/>
      <c r="O30" s="14"/>
      <c r="P30" s="14"/>
      <c r="Q30" s="14"/>
      <c r="R30" s="15"/>
      <c r="S30" s="15"/>
      <c r="T30" s="17"/>
      <c r="U30" s="17"/>
      <c r="V30" s="18"/>
      <c r="W30" s="14"/>
      <c r="X30" s="14"/>
      <c r="Y30" s="14"/>
      <c r="Z30" s="14"/>
      <c r="AA30" s="14"/>
      <c r="AB30" s="15"/>
      <c r="AC30" s="15"/>
      <c r="AD30" s="17"/>
      <c r="AE30" s="17"/>
    </row>
    <row r="31" spans="1:31" ht="12.75">
      <c r="A31" s="3" t="s">
        <v>12</v>
      </c>
      <c r="B31" s="13">
        <f>W16-316428.29</f>
        <v>14714.080000000016</v>
      </c>
      <c r="C31" s="14">
        <f>W16-328444.12</f>
        <v>2698.25</v>
      </c>
      <c r="D31" s="14">
        <f>H31-G31</f>
        <v>587.9799999999987</v>
      </c>
      <c r="E31" s="14">
        <f>Y16-30696.15</f>
        <v>334.3799999999974</v>
      </c>
      <c r="F31" s="14">
        <f>SUM(D31:E31)</f>
        <v>922.359999999996</v>
      </c>
      <c r="G31" s="14">
        <f>AA16-2523.9</f>
        <v>748.96</v>
      </c>
      <c r="H31" s="15">
        <f>AB16-23371.9</f>
        <v>1336.9399999999987</v>
      </c>
      <c r="I31" s="15">
        <f>E31</f>
        <v>334.3799999999974</v>
      </c>
      <c r="J31" s="17">
        <f>SUM(F31+G31)</f>
        <v>1671.319999999996</v>
      </c>
      <c r="K31" s="17">
        <f>SUM(C31+J31)</f>
        <v>4369.569999999996</v>
      </c>
      <c r="L31" s="14">
        <v>66278.45</v>
      </c>
      <c r="M31" s="14">
        <v>72912.15</v>
      </c>
      <c r="N31" s="14">
        <f>R31-Q31</f>
        <v>10036.68</v>
      </c>
      <c r="O31" s="14">
        <v>19387.74</v>
      </c>
      <c r="P31" s="14">
        <f>SUM(N31:O31)</f>
        <v>29424.420000000002</v>
      </c>
      <c r="Q31" s="14">
        <v>6045.3</v>
      </c>
      <c r="R31" s="15">
        <v>16081.98</v>
      </c>
      <c r="S31" s="15">
        <f>SUM(O31)</f>
        <v>19387.74</v>
      </c>
      <c r="T31" s="17">
        <f>SUM(P31+Q31)</f>
        <v>35469.72</v>
      </c>
      <c r="U31" s="17">
        <f>SUM(M31+T31)</f>
        <v>108381.87</v>
      </c>
      <c r="V31" s="18"/>
      <c r="W31" s="14">
        <f>M31*X22</f>
        <v>893953.997505</v>
      </c>
      <c r="X31" s="14">
        <f>AB31-AA31</f>
        <v>123056.72247599998</v>
      </c>
      <c r="Y31" s="14">
        <f>O31*X22</f>
        <v>237707.263818</v>
      </c>
      <c r="Z31" s="14">
        <f>SUM(X31:Y31)</f>
        <v>360763.986294</v>
      </c>
      <c r="AA31" s="22">
        <f>Q31*X22</f>
        <v>74119.60971</v>
      </c>
      <c r="AB31" s="15">
        <f>R31*X22</f>
        <v>197176.33218599999</v>
      </c>
      <c r="AC31" s="15">
        <f>SUM(Y31)</f>
        <v>237707.263818</v>
      </c>
      <c r="AD31" s="17">
        <f>SUM(Z31+AA31)</f>
        <v>434883.596004</v>
      </c>
      <c r="AE31" s="17">
        <f>SUM(W31+AD31)</f>
        <v>1328837.593509</v>
      </c>
    </row>
    <row r="32" spans="1:31" ht="12.75">
      <c r="A32" s="3"/>
      <c r="B32" s="12"/>
      <c r="C32" s="14"/>
      <c r="D32" s="14"/>
      <c r="E32" s="14"/>
      <c r="F32" s="14"/>
      <c r="G32" s="14"/>
      <c r="H32" s="15"/>
      <c r="I32" s="15"/>
      <c r="J32" s="17"/>
      <c r="K32" s="17"/>
      <c r="L32" s="14"/>
      <c r="M32" s="14"/>
      <c r="N32" s="14"/>
      <c r="O32" s="14"/>
      <c r="P32" s="14"/>
      <c r="Q32" s="14"/>
      <c r="R32" s="15"/>
      <c r="S32" s="15"/>
      <c r="T32" s="17"/>
      <c r="U32" s="17"/>
      <c r="V32" s="18"/>
      <c r="W32" s="14"/>
      <c r="X32" s="14"/>
      <c r="Y32" s="14"/>
      <c r="Z32" s="14"/>
      <c r="AA32" s="14"/>
      <c r="AB32" s="15"/>
      <c r="AC32" s="15"/>
      <c r="AD32" s="17"/>
      <c r="AE32" s="17"/>
    </row>
    <row r="33" spans="1:31" ht="12.75">
      <c r="A33" s="3" t="s">
        <v>13</v>
      </c>
      <c r="B33" s="12">
        <f>W18-1153.8</f>
        <v>4591.12</v>
      </c>
      <c r="C33" s="14">
        <f>W18-5541.18</f>
        <v>203.73999999999978</v>
      </c>
      <c r="D33" s="22">
        <f>H33-G33</f>
        <v>951.9300000000003</v>
      </c>
      <c r="E33" s="14">
        <f>Y18-14367.66</f>
        <v>50.81999999999971</v>
      </c>
      <c r="F33" s="14">
        <f>SUM(D33:E33)</f>
        <v>1002.75</v>
      </c>
      <c r="G33" s="14">
        <v>0</v>
      </c>
      <c r="H33" s="25">
        <f>AB18-8384.61</f>
        <v>951.9300000000003</v>
      </c>
      <c r="I33" s="15">
        <f>E33</f>
        <v>50.81999999999971</v>
      </c>
      <c r="J33" s="17">
        <f>SUM(F33+G33)</f>
        <v>1002.75</v>
      </c>
      <c r="K33" s="17">
        <f>SUM(C33+J33)</f>
        <v>1206.4899999999998</v>
      </c>
      <c r="L33" s="14">
        <v>7796.75</v>
      </c>
      <c r="M33" s="14">
        <v>5472.47</v>
      </c>
      <c r="N33" s="14">
        <f>R33-Q33</f>
        <v>8593.31</v>
      </c>
      <c r="O33" s="14">
        <v>4627.73</v>
      </c>
      <c r="P33" s="14">
        <f>N33+O33</f>
        <v>13221.039999999999</v>
      </c>
      <c r="Q33" s="14">
        <v>224</v>
      </c>
      <c r="R33" s="15">
        <v>8817.31</v>
      </c>
      <c r="S33" s="15">
        <f>SUM(O33)</f>
        <v>4627.73</v>
      </c>
      <c r="T33" s="17">
        <f>SUM(P33+Q33)</f>
        <v>13445.039999999999</v>
      </c>
      <c r="U33" s="17">
        <f>SUM(M33+T33)</f>
        <v>18917.51</v>
      </c>
      <c r="V33" s="18"/>
      <c r="W33" s="22">
        <f>M33*Z22</f>
        <v>83377.458426</v>
      </c>
      <c r="X33" s="14">
        <f>AB33-AA33</f>
        <v>134338.771698</v>
      </c>
      <c r="Y33" s="22">
        <f>O33*Z22</f>
        <v>70507.16873399999</v>
      </c>
      <c r="Z33" s="14">
        <f>SUM(X33:Y33)</f>
        <v>204845.94043199997</v>
      </c>
      <c r="AA33" s="14">
        <v>0</v>
      </c>
      <c r="AB33" s="15">
        <f>R33*Z22</f>
        <v>134338.771698</v>
      </c>
      <c r="AC33" s="15">
        <f>Y33</f>
        <v>70507.16873399999</v>
      </c>
      <c r="AD33" s="17">
        <f>SUM(Z33+AA33)</f>
        <v>204845.94043199997</v>
      </c>
      <c r="AE33" s="17">
        <f>SUM(W33+AD33)</f>
        <v>288223.39885799994</v>
      </c>
    </row>
    <row r="34" spans="1:31" ht="12.75">
      <c r="A34" s="3"/>
      <c r="B34" s="3"/>
      <c r="C34" s="19"/>
      <c r="D34" s="19"/>
      <c r="E34" s="19"/>
      <c r="F34" s="19"/>
      <c r="G34" s="19"/>
      <c r="H34" s="15"/>
      <c r="I34" s="15"/>
      <c r="J34" s="17"/>
      <c r="K34" s="17"/>
      <c r="L34" s="14"/>
      <c r="M34" s="14"/>
      <c r="N34" s="14"/>
      <c r="O34" s="14"/>
      <c r="P34" s="14"/>
      <c r="Q34" s="14"/>
      <c r="R34" s="15"/>
      <c r="S34" s="15"/>
      <c r="T34" s="17"/>
      <c r="U34" s="17"/>
      <c r="V34" s="14"/>
      <c r="W34" s="14"/>
      <c r="X34" s="14"/>
      <c r="Y34" s="14"/>
      <c r="Z34" s="14"/>
      <c r="AA34" s="14"/>
      <c r="AB34" s="15"/>
      <c r="AC34" s="15"/>
      <c r="AD34" s="17"/>
      <c r="AE34" s="17"/>
    </row>
    <row r="35" spans="1:31" ht="12.75">
      <c r="A35" s="3" t="s">
        <v>14</v>
      </c>
      <c r="B35" s="3"/>
      <c r="C35" s="19">
        <f>SUM(B35:B35)</f>
        <v>0</v>
      </c>
      <c r="D35" s="19"/>
      <c r="E35" s="19"/>
      <c r="F35" s="19"/>
      <c r="G35" s="19"/>
      <c r="H35" s="15"/>
      <c r="I35" s="15"/>
      <c r="J35" s="17">
        <f>SUM(E35)</f>
        <v>0</v>
      </c>
      <c r="K35" s="17">
        <f>SUM(C35+F35)</f>
        <v>0</v>
      </c>
      <c r="L35" s="14"/>
      <c r="M35" s="14">
        <f>SUM(L35:L35)</f>
        <v>0</v>
      </c>
      <c r="N35" s="14"/>
      <c r="O35" s="14"/>
      <c r="P35" s="14"/>
      <c r="Q35" s="14"/>
      <c r="R35" s="15"/>
      <c r="S35" s="15"/>
      <c r="T35" s="17">
        <f>SUM(O35)</f>
        <v>0</v>
      </c>
      <c r="U35" s="17">
        <f>SUM(L35:P35)</f>
        <v>0</v>
      </c>
      <c r="V35" s="14"/>
      <c r="W35" s="14"/>
      <c r="X35" s="14"/>
      <c r="Y35" s="14"/>
      <c r="Z35" s="14"/>
      <c r="AA35" s="14"/>
      <c r="AB35" s="15"/>
      <c r="AC35" s="15"/>
      <c r="AD35" s="17">
        <f>SUM(Y35)</f>
        <v>0</v>
      </c>
      <c r="AE35" s="17">
        <f>SUM(V35:Z35)</f>
        <v>0</v>
      </c>
    </row>
    <row r="36" spans="15:31" ht="12.75"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9"/>
      <c r="AA36" s="19"/>
      <c r="AB36" s="21"/>
      <c r="AC36" s="21"/>
      <c r="AD36" s="19"/>
      <c r="AE36" s="19"/>
    </row>
    <row r="37" spans="15:31" ht="12.75">
      <c r="O37" s="71" t="s">
        <v>18</v>
      </c>
      <c r="P37" s="71"/>
      <c r="Q37" s="71"/>
      <c r="R37" s="71"/>
      <c r="S37" s="71"/>
      <c r="T37" s="71"/>
      <c r="U37" s="72"/>
      <c r="V37" s="20"/>
      <c r="W37" s="24">
        <f aca="true" t="shared" si="0" ref="W37:AE37">SUM(W29:W35)</f>
        <v>1326561.435931</v>
      </c>
      <c r="X37" s="20">
        <f t="shared" si="0"/>
        <v>493703.134174</v>
      </c>
      <c r="Y37" s="20">
        <f t="shared" si="0"/>
        <v>1083604.232552</v>
      </c>
      <c r="Z37" s="20">
        <f t="shared" si="0"/>
        <v>1577307.366726</v>
      </c>
      <c r="AA37" s="24">
        <f t="shared" si="0"/>
        <v>238620.61971</v>
      </c>
      <c r="AB37" s="24">
        <f>AB29+AB31+AB33</f>
        <v>732323.753884</v>
      </c>
      <c r="AC37" s="28">
        <f t="shared" si="0"/>
        <v>1083604.232552</v>
      </c>
      <c r="AD37" s="24">
        <f t="shared" si="0"/>
        <v>1815927.986436</v>
      </c>
      <c r="AE37" s="27">
        <f t="shared" si="0"/>
        <v>3142489.4223670005</v>
      </c>
    </row>
  </sheetData>
  <sheetProtection/>
  <mergeCells count="75">
    <mergeCell ref="AB26:AC26"/>
    <mergeCell ref="AD26:AD27"/>
    <mergeCell ref="O37:U37"/>
    <mergeCell ref="D26:E26"/>
    <mergeCell ref="F26:F27"/>
    <mergeCell ref="H26:I26"/>
    <mergeCell ref="J26:J27"/>
    <mergeCell ref="N26:O26"/>
    <mergeCell ref="P26:P27"/>
    <mergeCell ref="Q25:Q26"/>
    <mergeCell ref="X25:Z25"/>
    <mergeCell ref="AA25:AA26"/>
    <mergeCell ref="R26:S26"/>
    <mergeCell ref="T26:T27"/>
    <mergeCell ref="X26:Y26"/>
    <mergeCell ref="Z26:Z27"/>
    <mergeCell ref="U23:U27"/>
    <mergeCell ref="V23:Z23"/>
    <mergeCell ref="AB23:AD25"/>
    <mergeCell ref="AE23:AE27"/>
    <mergeCell ref="B24:F24"/>
    <mergeCell ref="L24:P24"/>
    <mergeCell ref="V24:Z24"/>
    <mergeCell ref="B25:B27"/>
    <mergeCell ref="C25:C27"/>
    <mergeCell ref="D25:F25"/>
    <mergeCell ref="V25:V27"/>
    <mergeCell ref="W25:W27"/>
    <mergeCell ref="A23:A27"/>
    <mergeCell ref="B23:F23"/>
    <mergeCell ref="H23:J25"/>
    <mergeCell ref="K23:K27"/>
    <mergeCell ref="L23:P23"/>
    <mergeCell ref="R23:T25"/>
    <mergeCell ref="G25:G26"/>
    <mergeCell ref="L25:L27"/>
    <mergeCell ref="M25:M27"/>
    <mergeCell ref="N25:P25"/>
    <mergeCell ref="AB11:AC11"/>
    <mergeCell ref="Q10:Q11"/>
    <mergeCell ref="V10:V12"/>
    <mergeCell ref="W10:W12"/>
    <mergeCell ref="X10:Z10"/>
    <mergeCell ref="AB8:AD10"/>
    <mergeCell ref="AD11:AD12"/>
    <mergeCell ref="H11:I11"/>
    <mergeCell ref="J11:J12"/>
    <mergeCell ref="N11:O11"/>
    <mergeCell ref="U8:U12"/>
    <mergeCell ref="V8:Z8"/>
    <mergeCell ref="P11:P12"/>
    <mergeCell ref="R11:S11"/>
    <mergeCell ref="T11:T12"/>
    <mergeCell ref="X11:Y11"/>
    <mergeCell ref="Z11:Z12"/>
    <mergeCell ref="AE8:AE12"/>
    <mergeCell ref="B9:F9"/>
    <mergeCell ref="L9:P9"/>
    <mergeCell ref="V9:Z9"/>
    <mergeCell ref="B10:B12"/>
    <mergeCell ref="C10:C12"/>
    <mergeCell ref="D10:F10"/>
    <mergeCell ref="AA10:AA11"/>
    <mergeCell ref="D11:E11"/>
    <mergeCell ref="F11:F12"/>
    <mergeCell ref="A8:A12"/>
    <mergeCell ref="B8:F8"/>
    <mergeCell ref="H8:J10"/>
    <mergeCell ref="K8:K12"/>
    <mergeCell ref="L8:P8"/>
    <mergeCell ref="R8:T10"/>
    <mergeCell ref="G10:G11"/>
    <mergeCell ref="L10:L12"/>
    <mergeCell ref="M10:M12"/>
    <mergeCell ref="N10:P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AE37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9.125" style="1" customWidth="1"/>
    <col min="2" max="2" width="9.75390625" style="1" hidden="1" customWidth="1"/>
    <col min="3" max="3" width="10.75390625" style="1" customWidth="1"/>
    <col min="4" max="4" width="10.375" style="1" customWidth="1"/>
    <col min="5" max="5" width="10.75390625" style="1" customWidth="1"/>
    <col min="6" max="6" width="12.00390625" style="1" customWidth="1"/>
    <col min="7" max="7" width="9.375" style="1" bestFit="1" customWidth="1"/>
    <col min="8" max="8" width="9.25390625" style="1" bestFit="1" customWidth="1"/>
    <col min="9" max="9" width="11.25390625" style="1" customWidth="1"/>
    <col min="10" max="11" width="11.25390625" style="1" bestFit="1" customWidth="1"/>
    <col min="12" max="12" width="0" style="1" hidden="1" customWidth="1"/>
    <col min="13" max="13" width="9.375" style="1" customWidth="1"/>
    <col min="14" max="14" width="9.375" style="1" bestFit="1" customWidth="1"/>
    <col min="15" max="15" width="9.625" style="1" bestFit="1" customWidth="1"/>
    <col min="16" max="16" width="12.00390625" style="1" customWidth="1"/>
    <col min="17" max="18" width="9.625" style="1" bestFit="1" customWidth="1"/>
    <col min="19" max="19" width="9.25390625" style="1" customWidth="1"/>
    <col min="20" max="20" width="11.25390625" style="1" bestFit="1" customWidth="1"/>
    <col min="21" max="21" width="14.125" style="1" customWidth="1"/>
    <col min="22" max="22" width="10.375" style="1" hidden="1" customWidth="1"/>
    <col min="23" max="23" width="11.375" style="1" customWidth="1"/>
    <col min="24" max="24" width="9.875" style="1" customWidth="1"/>
    <col min="25" max="25" width="11.00390625" style="1" customWidth="1"/>
    <col min="26" max="27" width="11.75390625" style="1" bestFit="1" customWidth="1"/>
    <col min="28" max="28" width="10.75390625" style="1" bestFit="1" customWidth="1"/>
    <col min="29" max="29" width="11.75390625" style="1" bestFit="1" customWidth="1"/>
    <col min="30" max="30" width="11.25390625" style="1" bestFit="1" customWidth="1"/>
    <col min="31" max="31" width="16.25390625" style="1" customWidth="1"/>
    <col min="32" max="16384" width="9.125" style="1" customWidth="1"/>
  </cols>
  <sheetData>
    <row r="8" spans="1:31" ht="12.75" customHeight="1">
      <c r="A8" s="75" t="s">
        <v>0</v>
      </c>
      <c r="B8" s="73" t="s">
        <v>1</v>
      </c>
      <c r="C8" s="79"/>
      <c r="D8" s="79"/>
      <c r="E8" s="79"/>
      <c r="F8" s="79"/>
      <c r="G8" s="8"/>
      <c r="H8" s="82" t="s">
        <v>21</v>
      </c>
      <c r="I8" s="82"/>
      <c r="J8" s="82"/>
      <c r="K8" s="82" t="s">
        <v>20</v>
      </c>
      <c r="L8" s="73" t="s">
        <v>33</v>
      </c>
      <c r="M8" s="79"/>
      <c r="N8" s="79"/>
      <c r="O8" s="79"/>
      <c r="P8" s="79"/>
      <c r="Q8" s="8"/>
      <c r="R8" s="82" t="s">
        <v>21</v>
      </c>
      <c r="S8" s="82"/>
      <c r="T8" s="82"/>
      <c r="U8" s="69" t="s">
        <v>20</v>
      </c>
      <c r="V8" s="73" t="s">
        <v>2</v>
      </c>
      <c r="W8" s="79"/>
      <c r="X8" s="79"/>
      <c r="Y8" s="79"/>
      <c r="Z8" s="79"/>
      <c r="AA8" s="8"/>
      <c r="AB8" s="82" t="s">
        <v>21</v>
      </c>
      <c r="AC8" s="82"/>
      <c r="AD8" s="82"/>
      <c r="AE8" s="82" t="s">
        <v>20</v>
      </c>
    </row>
    <row r="9" spans="1:31" ht="12.75">
      <c r="A9" s="84"/>
      <c r="B9" s="73" t="s">
        <v>3</v>
      </c>
      <c r="C9" s="83"/>
      <c r="D9" s="83"/>
      <c r="E9" s="83"/>
      <c r="F9" s="83"/>
      <c r="G9" s="9"/>
      <c r="H9" s="82"/>
      <c r="I9" s="82"/>
      <c r="J9" s="82"/>
      <c r="K9" s="82"/>
      <c r="L9" s="73" t="s">
        <v>3</v>
      </c>
      <c r="M9" s="83"/>
      <c r="N9" s="83"/>
      <c r="O9" s="83"/>
      <c r="P9" s="83"/>
      <c r="Q9" s="9"/>
      <c r="R9" s="82"/>
      <c r="S9" s="82"/>
      <c r="T9" s="82"/>
      <c r="U9" s="80"/>
      <c r="V9" s="73" t="s">
        <v>3</v>
      </c>
      <c r="W9" s="79"/>
      <c r="X9" s="79"/>
      <c r="Y9" s="79"/>
      <c r="Z9" s="79"/>
      <c r="AA9" s="9"/>
      <c r="AB9" s="82"/>
      <c r="AC9" s="82"/>
      <c r="AD9" s="82"/>
      <c r="AE9" s="82"/>
    </row>
    <row r="10" spans="1:31" ht="12.75">
      <c r="A10" s="84"/>
      <c r="B10" s="75" t="s">
        <v>4</v>
      </c>
      <c r="C10" s="75" t="s">
        <v>6</v>
      </c>
      <c r="D10" s="73" t="s">
        <v>5</v>
      </c>
      <c r="E10" s="79"/>
      <c r="F10" s="74"/>
      <c r="G10" s="75" t="s">
        <v>19</v>
      </c>
      <c r="H10" s="82"/>
      <c r="I10" s="82"/>
      <c r="J10" s="82"/>
      <c r="K10" s="82"/>
      <c r="L10" s="75" t="s">
        <v>6</v>
      </c>
      <c r="M10" s="75" t="s">
        <v>6</v>
      </c>
      <c r="N10" s="73" t="s">
        <v>5</v>
      </c>
      <c r="O10" s="79"/>
      <c r="P10" s="74"/>
      <c r="Q10" s="75" t="s">
        <v>19</v>
      </c>
      <c r="R10" s="82"/>
      <c r="S10" s="82"/>
      <c r="T10" s="82"/>
      <c r="U10" s="80"/>
      <c r="V10" s="75" t="s">
        <v>6</v>
      </c>
      <c r="W10" s="75" t="s">
        <v>6</v>
      </c>
      <c r="X10" s="73" t="s">
        <v>5</v>
      </c>
      <c r="Y10" s="79"/>
      <c r="Z10" s="74"/>
      <c r="AA10" s="75" t="s">
        <v>19</v>
      </c>
      <c r="AB10" s="82"/>
      <c r="AC10" s="82"/>
      <c r="AD10" s="82"/>
      <c r="AE10" s="82"/>
    </row>
    <row r="11" spans="1:31" ht="12.75">
      <c r="A11" s="84"/>
      <c r="B11" s="84"/>
      <c r="C11" s="84"/>
      <c r="D11" s="73" t="s">
        <v>7</v>
      </c>
      <c r="E11" s="74"/>
      <c r="F11" s="75" t="s">
        <v>8</v>
      </c>
      <c r="G11" s="76"/>
      <c r="H11" s="77" t="s">
        <v>7</v>
      </c>
      <c r="I11" s="78"/>
      <c r="J11" s="69" t="s">
        <v>8</v>
      </c>
      <c r="K11" s="82"/>
      <c r="L11" s="84"/>
      <c r="M11" s="84"/>
      <c r="N11" s="73" t="s">
        <v>7</v>
      </c>
      <c r="O11" s="74"/>
      <c r="P11" s="75" t="s">
        <v>8</v>
      </c>
      <c r="Q11" s="76"/>
      <c r="R11" s="67" t="s">
        <v>7</v>
      </c>
      <c r="S11" s="68"/>
      <c r="T11" s="69" t="s">
        <v>8</v>
      </c>
      <c r="U11" s="80"/>
      <c r="V11" s="84"/>
      <c r="W11" s="84"/>
      <c r="X11" s="73" t="s">
        <v>7</v>
      </c>
      <c r="Y11" s="74"/>
      <c r="Z11" s="75" t="s">
        <v>8</v>
      </c>
      <c r="AA11" s="76"/>
      <c r="AB11" s="67" t="s">
        <v>7</v>
      </c>
      <c r="AC11" s="68"/>
      <c r="AD11" s="69" t="s">
        <v>8</v>
      </c>
      <c r="AE11" s="82"/>
    </row>
    <row r="12" spans="1:31" ht="51" customHeight="1">
      <c r="A12" s="76"/>
      <c r="B12" s="76"/>
      <c r="C12" s="76"/>
      <c r="D12" s="2" t="s">
        <v>9</v>
      </c>
      <c r="E12" s="2" t="s">
        <v>10</v>
      </c>
      <c r="F12" s="76"/>
      <c r="G12" s="2" t="s">
        <v>9</v>
      </c>
      <c r="H12" s="10" t="s">
        <v>9</v>
      </c>
      <c r="I12" s="10" t="s">
        <v>10</v>
      </c>
      <c r="J12" s="70"/>
      <c r="K12" s="82"/>
      <c r="L12" s="76"/>
      <c r="M12" s="76"/>
      <c r="N12" s="2" t="s">
        <v>9</v>
      </c>
      <c r="O12" s="2" t="s">
        <v>10</v>
      </c>
      <c r="P12" s="76"/>
      <c r="Q12" s="2" t="s">
        <v>9</v>
      </c>
      <c r="R12" s="10" t="s">
        <v>9</v>
      </c>
      <c r="S12" s="10" t="s">
        <v>10</v>
      </c>
      <c r="T12" s="70"/>
      <c r="U12" s="70"/>
      <c r="V12" s="76"/>
      <c r="W12" s="76"/>
      <c r="X12" s="2" t="s">
        <v>9</v>
      </c>
      <c r="Y12" s="2" t="s">
        <v>10</v>
      </c>
      <c r="Z12" s="76"/>
      <c r="AA12" s="2" t="s">
        <v>9</v>
      </c>
      <c r="AB12" s="10" t="s">
        <v>9</v>
      </c>
      <c r="AC12" s="10" t="s">
        <v>10</v>
      </c>
      <c r="AD12" s="70"/>
      <c r="AE12" s="82"/>
    </row>
    <row r="13" spans="1:31" ht="12.75">
      <c r="A13" s="3"/>
      <c r="B13" s="3"/>
      <c r="C13" s="3"/>
      <c r="D13" s="3"/>
      <c r="E13" s="3"/>
      <c r="F13" s="3"/>
      <c r="G13" s="3"/>
      <c r="H13" s="11"/>
      <c r="I13" s="11"/>
      <c r="J13" s="4"/>
      <c r="K13" s="4"/>
      <c r="L13" s="3"/>
      <c r="M13" s="3"/>
      <c r="N13" s="3"/>
      <c r="O13" s="3"/>
      <c r="P13" s="3"/>
      <c r="Q13" s="3"/>
      <c r="R13" s="11"/>
      <c r="S13" s="11"/>
      <c r="T13" s="4"/>
      <c r="U13" s="5"/>
      <c r="V13" s="3"/>
      <c r="W13" s="3"/>
      <c r="X13" s="3"/>
      <c r="Y13" s="3"/>
      <c r="Z13" s="3"/>
      <c r="AA13" s="3"/>
      <c r="AB13" s="11"/>
      <c r="AC13" s="11"/>
      <c r="AD13" s="4"/>
      <c r="AE13" s="5"/>
    </row>
    <row r="14" spans="1:31" ht="12.75">
      <c r="A14" s="3" t="s">
        <v>11</v>
      </c>
      <c r="B14" s="12">
        <v>1004789.49</v>
      </c>
      <c r="C14" s="14">
        <v>1004789.49</v>
      </c>
      <c r="D14" s="14">
        <f>H14-G14</f>
        <v>476659.84</v>
      </c>
      <c r="E14" s="14">
        <f>I14</f>
        <v>1260558.15</v>
      </c>
      <c r="F14" s="14">
        <f>SUM(D14:E14)</f>
        <v>1737217.99</v>
      </c>
      <c r="G14" s="14">
        <v>375983.42</v>
      </c>
      <c r="H14" s="15">
        <v>852643.26</v>
      </c>
      <c r="I14" s="15">
        <v>1260558.15</v>
      </c>
      <c r="J14" s="16">
        <f>SUM(F14+G14)</f>
        <v>2113201.41</v>
      </c>
      <c r="K14" s="16">
        <f>SUM(C14+J14)</f>
        <v>3117990.9000000004</v>
      </c>
      <c r="M14" s="14">
        <f>C14-1004789.49</f>
        <v>0</v>
      </c>
      <c r="N14" s="14">
        <f>R14-Q14</f>
        <v>15172</v>
      </c>
      <c r="O14" s="14">
        <f>E14-1036088.99</f>
        <v>224469.15999999992</v>
      </c>
      <c r="P14" s="14">
        <f>SUM(N14:O14)</f>
        <v>239641.15999999992</v>
      </c>
      <c r="Q14" s="14">
        <f>G14-326573.09</f>
        <v>49410.32999999996</v>
      </c>
      <c r="R14" s="15">
        <f>H14-788060.93</f>
        <v>64582.32999999996</v>
      </c>
      <c r="S14" s="15">
        <f>O14</f>
        <v>224469.15999999992</v>
      </c>
      <c r="T14" s="16">
        <f>SUM(P14+Q14)</f>
        <v>289051.4899999999</v>
      </c>
      <c r="U14" s="17">
        <f>SUM(M14+T14)</f>
        <v>289051.4899999999</v>
      </c>
      <c r="V14" s="18"/>
      <c r="W14" s="14">
        <v>1339133.14</v>
      </c>
      <c r="X14" s="14">
        <f>AB14-AA14</f>
        <v>441728.49999999994</v>
      </c>
      <c r="Y14" s="14">
        <v>687414.26</v>
      </c>
      <c r="Z14" s="14">
        <f>SUM(X14:Y14)</f>
        <v>1129142.76</v>
      </c>
      <c r="AA14" s="14">
        <v>279964.07</v>
      </c>
      <c r="AB14" s="15">
        <v>721692.57</v>
      </c>
      <c r="AC14" s="15">
        <v>687414.26</v>
      </c>
      <c r="AD14" s="16">
        <f>SUM(Z14+AA14)</f>
        <v>1409106.83</v>
      </c>
      <c r="AE14" s="17">
        <f>SUM(W14+AD14)</f>
        <v>2748239.9699999997</v>
      </c>
    </row>
    <row r="15" spans="1:31" ht="12.75">
      <c r="A15" s="3"/>
      <c r="B15" s="12"/>
      <c r="C15" s="14"/>
      <c r="D15" s="14"/>
      <c r="E15" s="14"/>
      <c r="F15" s="14"/>
      <c r="G15" s="14"/>
      <c r="H15" s="11"/>
      <c r="I15" s="11"/>
      <c r="J15" s="16"/>
      <c r="K15" s="16"/>
      <c r="M15" s="14"/>
      <c r="N15" s="14"/>
      <c r="O15" s="14"/>
      <c r="P15" s="14"/>
      <c r="Q15" s="14"/>
      <c r="R15" s="15"/>
      <c r="S15" s="15"/>
      <c r="T15" s="16"/>
      <c r="U15" s="17"/>
      <c r="V15" s="18"/>
      <c r="W15" s="14"/>
      <c r="X15" s="14"/>
      <c r="Y15" s="14"/>
      <c r="Z15" s="14"/>
      <c r="AA15" s="14"/>
      <c r="AB15" s="15"/>
      <c r="AC15" s="15"/>
      <c r="AD15" s="16"/>
      <c r="AE15" s="17"/>
    </row>
    <row r="16" spans="1:31" ht="12.75">
      <c r="A16" s="3" t="s">
        <v>12</v>
      </c>
      <c r="B16" s="12">
        <v>280664.21</v>
      </c>
      <c r="C16" s="14">
        <v>295421.22</v>
      </c>
      <c r="D16" s="14">
        <f>H16-G16</f>
        <v>30374.170000000002</v>
      </c>
      <c r="E16" s="14">
        <f>I16</f>
        <v>48754.7</v>
      </c>
      <c r="F16" s="14">
        <f>SUM(D16:E16)</f>
        <v>79128.87</v>
      </c>
      <c r="G16" s="14">
        <v>9828.77</v>
      </c>
      <c r="H16" s="15">
        <v>40202.94</v>
      </c>
      <c r="I16" s="15">
        <v>48754.7</v>
      </c>
      <c r="J16" s="16">
        <f>SUM(F16+G16)</f>
        <v>88957.64</v>
      </c>
      <c r="K16" s="16">
        <f>SUM(C16+J16)</f>
        <v>384378.86</v>
      </c>
      <c r="M16" s="14">
        <f>C16-290499.19</f>
        <v>4922.02999999997</v>
      </c>
      <c r="N16" s="14">
        <f>R16-Q16</f>
        <v>3625.300000000004</v>
      </c>
      <c r="O16" s="14">
        <f>E16-39583.77</f>
        <v>9170.93</v>
      </c>
      <c r="P16" s="14">
        <f>SUM(N16:O16)</f>
        <v>12796.230000000003</v>
      </c>
      <c r="Q16" s="14">
        <f>G16-7961.69</f>
        <v>1867.0800000000008</v>
      </c>
      <c r="R16" s="15">
        <f>H16-34710.56</f>
        <v>5492.380000000005</v>
      </c>
      <c r="S16" s="15">
        <f>O16</f>
        <v>9170.93</v>
      </c>
      <c r="T16" s="16">
        <f>SUM(P16+Q16)</f>
        <v>14663.310000000005</v>
      </c>
      <c r="U16" s="17">
        <f>SUM(M16+T16)</f>
        <v>19585.339999999975</v>
      </c>
      <c r="V16" s="18"/>
      <c r="W16" s="14">
        <v>333108.66</v>
      </c>
      <c r="X16" s="14">
        <f>AB16-AA16</f>
        <v>21480.54</v>
      </c>
      <c r="Y16" s="14">
        <v>31380.23</v>
      </c>
      <c r="Z16" s="14">
        <f>SUM(X16:Y16)</f>
        <v>52860.770000000004</v>
      </c>
      <c r="AA16" s="14">
        <v>3684.53</v>
      </c>
      <c r="AB16" s="15">
        <v>25165.07</v>
      </c>
      <c r="AC16" s="15">
        <v>31380.23</v>
      </c>
      <c r="AD16" s="16">
        <f>SUM(Z16+AA16)</f>
        <v>56545.3</v>
      </c>
      <c r="AE16" s="17">
        <f>SUM(W16+AD16)</f>
        <v>389653.95999999996</v>
      </c>
    </row>
    <row r="17" spans="1:31" ht="12.75">
      <c r="A17" s="3"/>
      <c r="B17" s="12"/>
      <c r="C17" s="14"/>
      <c r="D17" s="14"/>
      <c r="E17" s="14"/>
      <c r="F17" s="14"/>
      <c r="G17" s="14"/>
      <c r="H17" s="11"/>
      <c r="I17" s="11"/>
      <c r="J17" s="16"/>
      <c r="K17" s="16"/>
      <c r="M17" s="14"/>
      <c r="N17" s="14"/>
      <c r="O17" s="14"/>
      <c r="P17" s="14"/>
      <c r="Q17" s="14"/>
      <c r="R17" s="15"/>
      <c r="S17" s="15"/>
      <c r="T17" s="16"/>
      <c r="U17" s="17"/>
      <c r="V17" s="18"/>
      <c r="W17" s="14"/>
      <c r="X17" s="14"/>
      <c r="Y17" s="14"/>
      <c r="Z17" s="14"/>
      <c r="AA17" s="14"/>
      <c r="AB17" s="15"/>
      <c r="AC17" s="15"/>
      <c r="AD17" s="16"/>
      <c r="AE17" s="17"/>
    </row>
    <row r="18" spans="1:31" ht="12.75">
      <c r="A18" s="3" t="s">
        <v>13</v>
      </c>
      <c r="B18" s="13">
        <v>9284.75</v>
      </c>
      <c r="C18" s="14">
        <v>10377.07</v>
      </c>
      <c r="D18" s="14">
        <f>H18-G18</f>
        <v>19947.96</v>
      </c>
      <c r="E18" s="14">
        <f>I18</f>
        <v>17907.96</v>
      </c>
      <c r="F18" s="14">
        <f>SUM(D18:E18)</f>
        <v>37855.92</v>
      </c>
      <c r="G18" s="14">
        <v>224</v>
      </c>
      <c r="H18" s="15">
        <v>20171.96</v>
      </c>
      <c r="I18" s="15">
        <v>17907.96</v>
      </c>
      <c r="J18" s="16">
        <f>SUM(F18+G18)</f>
        <v>38079.92</v>
      </c>
      <c r="K18" s="16">
        <f>SUM(C18+J18)</f>
        <v>48456.99</v>
      </c>
      <c r="M18" s="14">
        <f>C18-10377.07</f>
        <v>0</v>
      </c>
      <c r="N18" s="14">
        <f>R18-Q18</f>
        <v>2858.7999999999993</v>
      </c>
      <c r="O18" s="14">
        <f>E18-15654.95</f>
        <v>2253.0099999999984</v>
      </c>
      <c r="P18" s="14">
        <f>SUM(N18:O18)</f>
        <v>5111.809999999998</v>
      </c>
      <c r="Q18" s="14">
        <f>G18-0</f>
        <v>224</v>
      </c>
      <c r="R18" s="15">
        <f>H18-17089.16</f>
        <v>3082.7999999999993</v>
      </c>
      <c r="S18" s="15">
        <f>O18</f>
        <v>2253.0099999999984</v>
      </c>
      <c r="T18" s="16">
        <f>SUM(P18+Q18)</f>
        <v>5335.809999999998</v>
      </c>
      <c r="U18" s="17">
        <f>SUM(M18+T18)</f>
        <v>5335.809999999998</v>
      </c>
      <c r="V18" s="18"/>
      <c r="W18" s="14">
        <v>5766.28</v>
      </c>
      <c r="X18" s="14">
        <f>AB18-AA18</f>
        <v>9348.92</v>
      </c>
      <c r="Y18" s="14">
        <v>14466.18</v>
      </c>
      <c r="Z18" s="14">
        <f>SUM(X18:Y18)</f>
        <v>23815.1</v>
      </c>
      <c r="AA18" s="14">
        <v>0.37</v>
      </c>
      <c r="AB18" s="15">
        <v>9349.29</v>
      </c>
      <c r="AC18" s="15">
        <v>14466.18</v>
      </c>
      <c r="AD18" s="16">
        <f>SUM(Z18+AA18)</f>
        <v>23815.469999999998</v>
      </c>
      <c r="AE18" s="17">
        <f>SUM(W18+AD18)</f>
        <v>29581.749999999996</v>
      </c>
    </row>
    <row r="19" spans="1:31" ht="12.75">
      <c r="A19" s="3"/>
      <c r="B19" s="12"/>
      <c r="C19" s="14"/>
      <c r="D19" s="14"/>
      <c r="E19" s="14"/>
      <c r="F19" s="14"/>
      <c r="G19" s="14"/>
      <c r="H19" s="11"/>
      <c r="I19" s="11"/>
      <c r="J19" s="16"/>
      <c r="K19" s="16"/>
      <c r="M19" s="14"/>
      <c r="N19" s="14"/>
      <c r="O19" s="14"/>
      <c r="P19" s="14"/>
      <c r="Q19" s="14"/>
      <c r="R19" s="15"/>
      <c r="S19" s="15"/>
      <c r="T19" s="16"/>
      <c r="U19" s="17"/>
      <c r="V19" s="18"/>
      <c r="W19" s="14"/>
      <c r="X19" s="14"/>
      <c r="Y19" s="14"/>
      <c r="Z19" s="14"/>
      <c r="AA19" s="14"/>
      <c r="AB19" s="15"/>
      <c r="AC19" s="15"/>
      <c r="AD19" s="16"/>
      <c r="AE19" s="17"/>
    </row>
    <row r="20" spans="1:31" ht="12.75">
      <c r="A20" s="3" t="s">
        <v>14</v>
      </c>
      <c r="B20" s="13">
        <v>4500</v>
      </c>
      <c r="C20" s="14">
        <v>4500</v>
      </c>
      <c r="D20" s="14"/>
      <c r="E20" s="14"/>
      <c r="F20" s="14">
        <v>0</v>
      </c>
      <c r="G20" s="14"/>
      <c r="H20" s="11"/>
      <c r="I20" s="11"/>
      <c r="J20" s="16">
        <f>SUM(E20)</f>
        <v>0</v>
      </c>
      <c r="K20" s="16">
        <f>SUM(C20+J20)</f>
        <v>4500</v>
      </c>
      <c r="M20" s="19"/>
      <c r="N20" s="19"/>
      <c r="O20" s="19"/>
      <c r="P20" s="19"/>
      <c r="Q20" s="19"/>
      <c r="R20" s="15"/>
      <c r="S20" s="15"/>
      <c r="T20" s="16">
        <f>SUM(O20)</f>
        <v>0</v>
      </c>
      <c r="U20" s="17">
        <f>SUM(M20+T20)</f>
        <v>0</v>
      </c>
      <c r="V20" s="18"/>
      <c r="W20" s="14">
        <v>4500</v>
      </c>
      <c r="X20" s="14"/>
      <c r="Y20" s="14"/>
      <c r="Z20" s="14"/>
      <c r="AA20" s="14"/>
      <c r="AB20" s="15"/>
      <c r="AC20" s="15"/>
      <c r="AD20" s="16">
        <f>SUM(Y20)</f>
        <v>0</v>
      </c>
      <c r="AE20" s="17">
        <f>SUM(W20+AD20)</f>
        <v>4500</v>
      </c>
    </row>
    <row r="22" spans="23:27" ht="12.75">
      <c r="W22" s="6"/>
      <c r="X22" s="6">
        <v>12.3851</v>
      </c>
      <c r="Y22" s="7" t="s">
        <v>15</v>
      </c>
      <c r="Z22" s="1">
        <v>15.9323</v>
      </c>
      <c r="AA22" s="1" t="s">
        <v>16</v>
      </c>
    </row>
    <row r="23" spans="1:31" ht="12.75" customHeight="1">
      <c r="A23" s="75" t="s">
        <v>0</v>
      </c>
      <c r="B23" s="73" t="s">
        <v>34</v>
      </c>
      <c r="C23" s="79"/>
      <c r="D23" s="79"/>
      <c r="E23" s="79"/>
      <c r="F23" s="79"/>
      <c r="G23" s="8"/>
      <c r="H23" s="82" t="s">
        <v>21</v>
      </c>
      <c r="I23" s="82"/>
      <c r="J23" s="82"/>
      <c r="K23" s="82" t="s">
        <v>20</v>
      </c>
      <c r="L23" s="73" t="s">
        <v>17</v>
      </c>
      <c r="M23" s="79"/>
      <c r="N23" s="79"/>
      <c r="O23" s="79"/>
      <c r="P23" s="79"/>
      <c r="Q23" s="8"/>
      <c r="R23" s="82" t="s">
        <v>21</v>
      </c>
      <c r="S23" s="82"/>
      <c r="T23" s="82"/>
      <c r="U23" s="69" t="s">
        <v>20</v>
      </c>
      <c r="V23" s="67" t="s">
        <v>31</v>
      </c>
      <c r="W23" s="81"/>
      <c r="X23" s="81"/>
      <c r="Y23" s="81"/>
      <c r="Z23" s="81"/>
      <c r="AA23" s="8"/>
      <c r="AB23" s="82" t="s">
        <v>21</v>
      </c>
      <c r="AC23" s="82"/>
      <c r="AD23" s="82"/>
      <c r="AE23" s="82" t="s">
        <v>20</v>
      </c>
    </row>
    <row r="24" spans="1:31" ht="12.75">
      <c r="A24" s="84"/>
      <c r="B24" s="73" t="s">
        <v>3</v>
      </c>
      <c r="C24" s="83"/>
      <c r="D24" s="83"/>
      <c r="E24" s="83"/>
      <c r="F24" s="83"/>
      <c r="G24" s="9"/>
      <c r="H24" s="82"/>
      <c r="I24" s="82"/>
      <c r="J24" s="82"/>
      <c r="K24" s="82"/>
      <c r="L24" s="73" t="s">
        <v>3</v>
      </c>
      <c r="M24" s="83"/>
      <c r="N24" s="83"/>
      <c r="O24" s="83"/>
      <c r="P24" s="83"/>
      <c r="Q24" s="9"/>
      <c r="R24" s="82"/>
      <c r="S24" s="82"/>
      <c r="T24" s="82"/>
      <c r="U24" s="80"/>
      <c r="V24" s="73" t="s">
        <v>3</v>
      </c>
      <c r="W24" s="79"/>
      <c r="X24" s="79"/>
      <c r="Y24" s="79"/>
      <c r="Z24" s="79"/>
      <c r="AA24" s="9"/>
      <c r="AB24" s="82"/>
      <c r="AC24" s="82"/>
      <c r="AD24" s="82"/>
      <c r="AE24" s="82"/>
    </row>
    <row r="25" spans="1:31" ht="12.75">
      <c r="A25" s="84"/>
      <c r="B25" s="75" t="s">
        <v>6</v>
      </c>
      <c r="C25" s="75" t="s">
        <v>22</v>
      </c>
      <c r="D25" s="73" t="s">
        <v>5</v>
      </c>
      <c r="E25" s="79"/>
      <c r="F25" s="74"/>
      <c r="G25" s="75" t="s">
        <v>19</v>
      </c>
      <c r="H25" s="82"/>
      <c r="I25" s="82"/>
      <c r="J25" s="82"/>
      <c r="K25" s="82"/>
      <c r="L25" s="75" t="s">
        <v>6</v>
      </c>
      <c r="M25" s="75" t="s">
        <v>6</v>
      </c>
      <c r="N25" s="73" t="s">
        <v>5</v>
      </c>
      <c r="O25" s="79"/>
      <c r="P25" s="74"/>
      <c r="Q25" s="75" t="s">
        <v>19</v>
      </c>
      <c r="R25" s="82"/>
      <c r="S25" s="82"/>
      <c r="T25" s="82"/>
      <c r="U25" s="80"/>
      <c r="V25" s="75" t="s">
        <v>6</v>
      </c>
      <c r="W25" s="75" t="s">
        <v>22</v>
      </c>
      <c r="X25" s="73" t="s">
        <v>5</v>
      </c>
      <c r="Y25" s="79"/>
      <c r="Z25" s="74"/>
      <c r="AA25" s="75" t="s">
        <v>19</v>
      </c>
      <c r="AB25" s="82"/>
      <c r="AC25" s="82"/>
      <c r="AD25" s="82"/>
      <c r="AE25" s="82"/>
    </row>
    <row r="26" spans="1:31" ht="12.75">
      <c r="A26" s="84"/>
      <c r="B26" s="84"/>
      <c r="C26" s="84"/>
      <c r="D26" s="73" t="s">
        <v>7</v>
      </c>
      <c r="E26" s="74"/>
      <c r="F26" s="75" t="s">
        <v>8</v>
      </c>
      <c r="G26" s="76"/>
      <c r="H26" s="77" t="s">
        <v>7</v>
      </c>
      <c r="I26" s="78"/>
      <c r="J26" s="69" t="s">
        <v>8</v>
      </c>
      <c r="K26" s="82"/>
      <c r="L26" s="84"/>
      <c r="M26" s="84"/>
      <c r="N26" s="73" t="s">
        <v>7</v>
      </c>
      <c r="O26" s="74"/>
      <c r="P26" s="75" t="s">
        <v>8</v>
      </c>
      <c r="Q26" s="76"/>
      <c r="R26" s="67" t="s">
        <v>7</v>
      </c>
      <c r="S26" s="68"/>
      <c r="T26" s="69" t="s">
        <v>8</v>
      </c>
      <c r="U26" s="80"/>
      <c r="V26" s="84"/>
      <c r="W26" s="84"/>
      <c r="X26" s="73" t="s">
        <v>7</v>
      </c>
      <c r="Y26" s="74"/>
      <c r="Z26" s="75" t="s">
        <v>8</v>
      </c>
      <c r="AA26" s="76"/>
      <c r="AB26" s="67" t="s">
        <v>7</v>
      </c>
      <c r="AC26" s="68"/>
      <c r="AD26" s="69" t="s">
        <v>8</v>
      </c>
      <c r="AE26" s="82"/>
    </row>
    <row r="27" spans="1:31" ht="25.5">
      <c r="A27" s="76"/>
      <c r="B27" s="76"/>
      <c r="C27" s="76"/>
      <c r="D27" s="2" t="s">
        <v>9</v>
      </c>
      <c r="E27" s="2" t="s">
        <v>10</v>
      </c>
      <c r="F27" s="76"/>
      <c r="G27" s="2" t="s">
        <v>9</v>
      </c>
      <c r="H27" s="10" t="s">
        <v>9</v>
      </c>
      <c r="I27" s="10" t="s">
        <v>10</v>
      </c>
      <c r="J27" s="70"/>
      <c r="K27" s="82"/>
      <c r="L27" s="76"/>
      <c r="M27" s="76"/>
      <c r="N27" s="2" t="s">
        <v>9</v>
      </c>
      <c r="O27" s="2" t="s">
        <v>10</v>
      </c>
      <c r="P27" s="76"/>
      <c r="Q27" s="2" t="s">
        <v>9</v>
      </c>
      <c r="R27" s="10" t="s">
        <v>9</v>
      </c>
      <c r="S27" s="10" t="s">
        <v>10</v>
      </c>
      <c r="T27" s="70"/>
      <c r="U27" s="70"/>
      <c r="V27" s="76"/>
      <c r="W27" s="76"/>
      <c r="X27" s="2" t="s">
        <v>9</v>
      </c>
      <c r="Y27" s="2" t="s">
        <v>10</v>
      </c>
      <c r="Z27" s="76"/>
      <c r="AA27" s="2" t="s">
        <v>9</v>
      </c>
      <c r="AB27" s="10" t="s">
        <v>9</v>
      </c>
      <c r="AC27" s="10" t="s">
        <v>10</v>
      </c>
      <c r="AD27" s="70"/>
      <c r="AE27" s="82"/>
    </row>
    <row r="28" spans="1:31" ht="12.75">
      <c r="A28" s="3"/>
      <c r="B28" s="3"/>
      <c r="C28" s="3"/>
      <c r="D28" s="3"/>
      <c r="E28" s="3"/>
      <c r="F28" s="3"/>
      <c r="G28" s="3"/>
      <c r="H28" s="11"/>
      <c r="I28" s="11"/>
      <c r="J28" s="5"/>
      <c r="K28" s="5"/>
      <c r="L28" s="3"/>
      <c r="M28" s="3"/>
      <c r="N28" s="3"/>
      <c r="O28" s="3"/>
      <c r="P28" s="3"/>
      <c r="Q28" s="3"/>
      <c r="R28" s="11"/>
      <c r="S28" s="11"/>
      <c r="T28" s="5"/>
      <c r="U28" s="5"/>
      <c r="V28" s="3"/>
      <c r="W28" s="3"/>
      <c r="X28" s="3"/>
      <c r="Y28" s="3"/>
      <c r="Z28" s="3"/>
      <c r="AA28" s="3"/>
      <c r="AB28" s="11"/>
      <c r="AC28" s="11"/>
      <c r="AD28" s="5"/>
      <c r="AE28" s="5"/>
    </row>
    <row r="29" spans="1:31" ht="12.75">
      <c r="A29" s="3" t="s">
        <v>11</v>
      </c>
      <c r="B29" s="12">
        <f>W14-1248437.65</f>
        <v>90695.48999999999</v>
      </c>
      <c r="C29" s="14">
        <f>W14-1324988.9</f>
        <v>14144.23999999999</v>
      </c>
      <c r="D29" s="14">
        <f>H29-G29</f>
        <v>61920.59999999992</v>
      </c>
      <c r="E29" s="14">
        <f>Y14-565083.16</f>
        <v>122331.09999999998</v>
      </c>
      <c r="F29" s="14">
        <f>SUM(D29:E29)</f>
        <v>184251.6999999999</v>
      </c>
      <c r="G29" s="14">
        <f>AA14-227573.11</f>
        <v>52390.96000000002</v>
      </c>
      <c r="H29" s="15">
        <f>AB14-607381.01</f>
        <v>114311.55999999994</v>
      </c>
      <c r="I29" s="15">
        <f>E29</f>
        <v>122331.09999999998</v>
      </c>
      <c r="J29" s="17">
        <f>SUM(F29+G29)</f>
        <v>236642.65999999992</v>
      </c>
      <c r="K29" s="17">
        <f>SUM(C29+J29)</f>
        <v>250786.8999999999</v>
      </c>
      <c r="L29" s="14">
        <v>428694.72</v>
      </c>
      <c r="M29" s="14">
        <v>342086.82</v>
      </c>
      <c r="N29" s="14">
        <f>R29-Q29</f>
        <v>236346.03999999998</v>
      </c>
      <c r="O29" s="14">
        <v>813338.17</v>
      </c>
      <c r="P29" s="14">
        <f>SUM(N29:O29)</f>
        <v>1049684.21</v>
      </c>
      <c r="Q29" s="14">
        <v>172808.64</v>
      </c>
      <c r="R29" s="15">
        <v>409154.68</v>
      </c>
      <c r="S29" s="15">
        <f>SUM(O29)</f>
        <v>813338.17</v>
      </c>
      <c r="T29" s="17">
        <f>SUM(P29+Q29)</f>
        <v>1222492.85</v>
      </c>
      <c r="U29" s="17">
        <f>SUM(M29+T29)</f>
        <v>1564579.6700000002</v>
      </c>
      <c r="V29" s="18"/>
      <c r="W29" s="14">
        <f>M29</f>
        <v>342086.82</v>
      </c>
      <c r="X29" s="14">
        <f>AB29-AA29</f>
        <v>236346.03999999998</v>
      </c>
      <c r="Y29" s="14">
        <f>O29</f>
        <v>813338.17</v>
      </c>
      <c r="Z29" s="14">
        <f>SUM(X29:Y29)</f>
        <v>1049684.21</v>
      </c>
      <c r="AA29" s="14">
        <f>Q29</f>
        <v>172808.64</v>
      </c>
      <c r="AB29" s="15">
        <f>R29</f>
        <v>409154.68</v>
      </c>
      <c r="AC29" s="15">
        <f>SUM(Y29)</f>
        <v>813338.17</v>
      </c>
      <c r="AD29" s="17">
        <f>SUM(Z29+AA29)</f>
        <v>1222492.85</v>
      </c>
      <c r="AE29" s="17">
        <f>SUM(W29+AD29)</f>
        <v>1564579.6700000002</v>
      </c>
    </row>
    <row r="30" spans="1:31" ht="12.75">
      <c r="A30" s="3"/>
      <c r="B30" s="12"/>
      <c r="C30" s="14"/>
      <c r="D30" s="14"/>
      <c r="E30" s="14"/>
      <c r="F30" s="14"/>
      <c r="G30" s="14"/>
      <c r="H30" s="15"/>
      <c r="I30" s="15"/>
      <c r="J30" s="17"/>
      <c r="K30" s="17"/>
      <c r="L30" s="14"/>
      <c r="M30" s="14"/>
      <c r="N30" s="14"/>
      <c r="O30" s="14"/>
      <c r="P30" s="14"/>
      <c r="Q30" s="14"/>
      <c r="R30" s="15"/>
      <c r="S30" s="15"/>
      <c r="T30" s="17"/>
      <c r="U30" s="17"/>
      <c r="V30" s="18"/>
      <c r="W30" s="14"/>
      <c r="X30" s="14"/>
      <c r="Y30" s="14"/>
      <c r="Z30" s="14"/>
      <c r="AA30" s="14"/>
      <c r="AB30" s="15"/>
      <c r="AC30" s="15"/>
      <c r="AD30" s="17"/>
      <c r="AE30" s="17"/>
    </row>
    <row r="31" spans="1:31" ht="12.75">
      <c r="A31" s="3" t="s">
        <v>12</v>
      </c>
      <c r="B31" s="13">
        <f>W16-316428.29</f>
        <v>16680.369999999995</v>
      </c>
      <c r="C31" s="14">
        <f>W16-328444.12</f>
        <v>4664.539999999979</v>
      </c>
      <c r="D31" s="14">
        <f>H31-G31</f>
        <v>632.5399999999981</v>
      </c>
      <c r="E31" s="14">
        <f>Y16-30696.15</f>
        <v>684.0799999999981</v>
      </c>
      <c r="F31" s="14">
        <f>SUM(D31:E31)</f>
        <v>1316.6199999999963</v>
      </c>
      <c r="G31" s="14">
        <f>AA16-2523.9</f>
        <v>1160.63</v>
      </c>
      <c r="H31" s="15">
        <f>AB16-23371.9</f>
        <v>1793.1699999999983</v>
      </c>
      <c r="I31" s="15">
        <f>E31</f>
        <v>684.0799999999981</v>
      </c>
      <c r="J31" s="17">
        <f>SUM(F31+G31)</f>
        <v>2477.2499999999964</v>
      </c>
      <c r="K31" s="17">
        <f>SUM(C31+J31)</f>
        <v>7141.789999999975</v>
      </c>
      <c r="L31" s="14">
        <v>66278.45</v>
      </c>
      <c r="M31" s="14">
        <v>71295.54</v>
      </c>
      <c r="N31" s="14">
        <f>R31-Q31</f>
        <v>11040.789999999999</v>
      </c>
      <c r="O31" s="14">
        <v>20241.88</v>
      </c>
      <c r="P31" s="14">
        <f>SUM(N31:O31)</f>
        <v>31282.67</v>
      </c>
      <c r="Q31" s="14">
        <v>6523.33</v>
      </c>
      <c r="R31" s="15">
        <v>17564.12</v>
      </c>
      <c r="S31" s="15">
        <f>SUM(O31)</f>
        <v>20241.88</v>
      </c>
      <c r="T31" s="17">
        <f>SUM(P31+Q31)</f>
        <v>37806</v>
      </c>
      <c r="U31" s="17">
        <f>SUM(M31+T31)</f>
        <v>109101.54</v>
      </c>
      <c r="V31" s="18"/>
      <c r="W31" s="14">
        <f>M31*X22</f>
        <v>883002.3924539998</v>
      </c>
      <c r="X31" s="14">
        <f>AB31-AA31</f>
        <v>136741.288229</v>
      </c>
      <c r="Y31" s="14">
        <f>O31*X22</f>
        <v>250697.707988</v>
      </c>
      <c r="Z31" s="14">
        <f>SUM(X31:Y31)</f>
        <v>387438.996217</v>
      </c>
      <c r="AA31" s="22">
        <f>Q31*X22</f>
        <v>80792.094383</v>
      </c>
      <c r="AB31" s="15">
        <f>R31*X22</f>
        <v>217533.382612</v>
      </c>
      <c r="AC31" s="15">
        <f>SUM(Y31)</f>
        <v>250697.707988</v>
      </c>
      <c r="AD31" s="17">
        <f>SUM(Z31+AA31)</f>
        <v>468231.0906</v>
      </c>
      <c r="AE31" s="17">
        <f>SUM(W31+AD31)</f>
        <v>1351233.483054</v>
      </c>
    </row>
    <row r="32" spans="1:31" ht="12.75">
      <c r="A32" s="3"/>
      <c r="B32" s="12"/>
      <c r="C32" s="14"/>
      <c r="D32" s="14"/>
      <c r="E32" s="14"/>
      <c r="F32" s="14"/>
      <c r="G32" s="14"/>
      <c r="H32" s="15"/>
      <c r="I32" s="15"/>
      <c r="J32" s="17"/>
      <c r="K32" s="17"/>
      <c r="L32" s="14"/>
      <c r="M32" s="14"/>
      <c r="N32" s="14"/>
      <c r="O32" s="14"/>
      <c r="P32" s="14"/>
      <c r="Q32" s="14"/>
      <c r="R32" s="15"/>
      <c r="S32" s="15"/>
      <c r="T32" s="17"/>
      <c r="U32" s="17"/>
      <c r="V32" s="18"/>
      <c r="W32" s="14"/>
      <c r="X32" s="14"/>
      <c r="Y32" s="14"/>
      <c r="Z32" s="14"/>
      <c r="AA32" s="14"/>
      <c r="AB32" s="15"/>
      <c r="AC32" s="15"/>
      <c r="AD32" s="17"/>
      <c r="AE32" s="17"/>
    </row>
    <row r="33" spans="1:31" ht="12.75">
      <c r="A33" s="3" t="s">
        <v>13</v>
      </c>
      <c r="B33" s="12">
        <f>W18-1153.8</f>
        <v>4612.48</v>
      </c>
      <c r="C33" s="14">
        <f>W18-5541.18</f>
        <v>225.09999999999945</v>
      </c>
      <c r="D33" s="22">
        <f>H33-G33</f>
        <v>964.6800000000003</v>
      </c>
      <c r="E33" s="14">
        <f>Y18-14367.66</f>
        <v>98.52000000000044</v>
      </c>
      <c r="F33" s="14">
        <f>SUM(D33:E33)</f>
        <v>1063.2000000000007</v>
      </c>
      <c r="G33" s="14">
        <v>0</v>
      </c>
      <c r="H33" s="25">
        <f>AB18-8384.61</f>
        <v>964.6800000000003</v>
      </c>
      <c r="I33" s="15">
        <f>E33</f>
        <v>98.52000000000044</v>
      </c>
      <c r="J33" s="17">
        <f>SUM(F33+G33)</f>
        <v>1063.2000000000007</v>
      </c>
      <c r="K33" s="17">
        <f>SUM(C33+J33)</f>
        <v>1288.3000000000002</v>
      </c>
      <c r="L33" s="14">
        <v>7796.75</v>
      </c>
      <c r="M33" s="14">
        <v>5461.55</v>
      </c>
      <c r="N33" s="14">
        <f>R33-Q33</f>
        <v>11439.36</v>
      </c>
      <c r="O33" s="14">
        <v>4747.7</v>
      </c>
      <c r="P33" s="14">
        <f>N33+O33</f>
        <v>16187.060000000001</v>
      </c>
      <c r="Q33" s="14">
        <v>224</v>
      </c>
      <c r="R33" s="15">
        <v>11663.36</v>
      </c>
      <c r="S33" s="15">
        <f>SUM(O33)</f>
        <v>4747.7</v>
      </c>
      <c r="T33" s="17">
        <f>SUM(P33+Q33)</f>
        <v>16411.06</v>
      </c>
      <c r="U33" s="17">
        <f>SUM(M33+T33)</f>
        <v>21872.61</v>
      </c>
      <c r="V33" s="18"/>
      <c r="W33" s="22">
        <f>M33*Z22</f>
        <v>87015.053065</v>
      </c>
      <c r="X33" s="14">
        <f>AB33-AA33</f>
        <v>185824.150528</v>
      </c>
      <c r="Y33" s="22">
        <f>O33*Z22</f>
        <v>75641.78070999999</v>
      </c>
      <c r="Z33" s="14">
        <f>SUM(X33:Y33)</f>
        <v>261465.931238</v>
      </c>
      <c r="AA33" s="14">
        <v>0</v>
      </c>
      <c r="AB33" s="15">
        <f>R33*Z22</f>
        <v>185824.150528</v>
      </c>
      <c r="AC33" s="15">
        <f>Y33</f>
        <v>75641.78070999999</v>
      </c>
      <c r="AD33" s="17">
        <f>SUM(Z33+AA33)</f>
        <v>261465.931238</v>
      </c>
      <c r="AE33" s="17">
        <f>SUM(W33+AD33)</f>
        <v>348480.984303</v>
      </c>
    </row>
    <row r="34" spans="1:31" ht="12.75">
      <c r="A34" s="3"/>
      <c r="B34" s="3"/>
      <c r="C34" s="19"/>
      <c r="D34" s="19"/>
      <c r="E34" s="19"/>
      <c r="F34" s="19"/>
      <c r="G34" s="19"/>
      <c r="H34" s="15"/>
      <c r="I34" s="15"/>
      <c r="J34" s="17"/>
      <c r="K34" s="17"/>
      <c r="L34" s="14"/>
      <c r="M34" s="14"/>
      <c r="N34" s="14"/>
      <c r="O34" s="14"/>
      <c r="P34" s="14"/>
      <c r="Q34" s="14"/>
      <c r="R34" s="15"/>
      <c r="S34" s="15"/>
      <c r="T34" s="17"/>
      <c r="U34" s="17"/>
      <c r="V34" s="14"/>
      <c r="W34" s="14"/>
      <c r="X34" s="14"/>
      <c r="Y34" s="14"/>
      <c r="Z34" s="14"/>
      <c r="AA34" s="14"/>
      <c r="AB34" s="15"/>
      <c r="AC34" s="15"/>
      <c r="AD34" s="17"/>
      <c r="AE34" s="17"/>
    </row>
    <row r="35" spans="1:31" ht="12.75">
      <c r="A35" s="3" t="s">
        <v>14</v>
      </c>
      <c r="B35" s="3"/>
      <c r="C35" s="19">
        <f>SUM(B35:B35)</f>
        <v>0</v>
      </c>
      <c r="D35" s="19"/>
      <c r="E35" s="19"/>
      <c r="F35" s="19"/>
      <c r="G35" s="19"/>
      <c r="H35" s="15"/>
      <c r="I35" s="15"/>
      <c r="J35" s="17">
        <f>SUM(E35)</f>
        <v>0</v>
      </c>
      <c r="K35" s="17">
        <f>SUM(C35+F35)</f>
        <v>0</v>
      </c>
      <c r="L35" s="14"/>
      <c r="M35" s="14">
        <f>SUM(L35:L35)</f>
        <v>0</v>
      </c>
      <c r="N35" s="14"/>
      <c r="O35" s="14"/>
      <c r="P35" s="14"/>
      <c r="Q35" s="14"/>
      <c r="R35" s="15"/>
      <c r="S35" s="15"/>
      <c r="T35" s="17">
        <f>SUM(O35)</f>
        <v>0</v>
      </c>
      <c r="U35" s="17">
        <f>SUM(L35:P35)</f>
        <v>0</v>
      </c>
      <c r="V35" s="14"/>
      <c r="W35" s="14"/>
      <c r="X35" s="14"/>
      <c r="Y35" s="14"/>
      <c r="Z35" s="14"/>
      <c r="AA35" s="14"/>
      <c r="AB35" s="15"/>
      <c r="AC35" s="15"/>
      <c r="AD35" s="17">
        <f>SUM(Y35)</f>
        <v>0</v>
      </c>
      <c r="AE35" s="17">
        <f>SUM(V35:Z35)</f>
        <v>0</v>
      </c>
    </row>
    <row r="36" spans="15:31" ht="12.75"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9"/>
      <c r="AA36" s="19"/>
      <c r="AB36" s="21"/>
      <c r="AC36" s="21"/>
      <c r="AD36" s="19"/>
      <c r="AE36" s="19"/>
    </row>
    <row r="37" spans="15:31" ht="12.75">
      <c r="O37" s="71" t="s">
        <v>18</v>
      </c>
      <c r="P37" s="71"/>
      <c r="Q37" s="71"/>
      <c r="R37" s="71"/>
      <c r="S37" s="71"/>
      <c r="T37" s="71"/>
      <c r="U37" s="72"/>
      <c r="V37" s="20"/>
      <c r="W37" s="24">
        <f aca="true" t="shared" si="0" ref="W37:AE37">SUM(W29:W35)</f>
        <v>1312104.265519</v>
      </c>
      <c r="X37" s="20">
        <f t="shared" si="0"/>
        <v>558911.478757</v>
      </c>
      <c r="Y37" s="20">
        <f t="shared" si="0"/>
        <v>1139677.658698</v>
      </c>
      <c r="Z37" s="20">
        <f t="shared" si="0"/>
        <v>1698589.137455</v>
      </c>
      <c r="AA37" s="24">
        <f t="shared" si="0"/>
        <v>253600.734383</v>
      </c>
      <c r="AB37" s="24">
        <f>AB29+AB31+AB33</f>
        <v>812512.2131399999</v>
      </c>
      <c r="AC37" s="28">
        <f t="shared" si="0"/>
        <v>1139677.658698</v>
      </c>
      <c r="AD37" s="24">
        <f t="shared" si="0"/>
        <v>1952189.8718380001</v>
      </c>
      <c r="AE37" s="27">
        <f t="shared" si="0"/>
        <v>3264294.137357</v>
      </c>
    </row>
  </sheetData>
  <sheetProtection/>
  <mergeCells count="75">
    <mergeCell ref="A8:A12"/>
    <mergeCell ref="B8:F8"/>
    <mergeCell ref="H8:J10"/>
    <mergeCell ref="K8:K12"/>
    <mergeCell ref="L8:P8"/>
    <mergeCell ref="R8:T10"/>
    <mergeCell ref="G10:G11"/>
    <mergeCell ref="L10:L12"/>
    <mergeCell ref="M10:M12"/>
    <mergeCell ref="N10:P10"/>
    <mergeCell ref="AE8:AE12"/>
    <mergeCell ref="B9:F9"/>
    <mergeCell ref="L9:P9"/>
    <mergeCell ref="V9:Z9"/>
    <mergeCell ref="B10:B12"/>
    <mergeCell ref="C10:C12"/>
    <mergeCell ref="D10:F10"/>
    <mergeCell ref="AA10:AA11"/>
    <mergeCell ref="D11:E11"/>
    <mergeCell ref="F11:F12"/>
    <mergeCell ref="H11:I11"/>
    <mergeCell ref="J11:J12"/>
    <mergeCell ref="N11:O11"/>
    <mergeCell ref="U8:U12"/>
    <mergeCell ref="V8:Z8"/>
    <mergeCell ref="P11:P12"/>
    <mergeCell ref="R11:S11"/>
    <mergeCell ref="T11:T12"/>
    <mergeCell ref="X11:Y11"/>
    <mergeCell ref="Z11:Z12"/>
    <mergeCell ref="AB11:AC11"/>
    <mergeCell ref="Q10:Q11"/>
    <mergeCell ref="V10:V12"/>
    <mergeCell ref="W10:W12"/>
    <mergeCell ref="X10:Z10"/>
    <mergeCell ref="AB8:AD10"/>
    <mergeCell ref="AD11:AD12"/>
    <mergeCell ref="A23:A27"/>
    <mergeCell ref="B23:F23"/>
    <mergeCell ref="H23:J25"/>
    <mergeCell ref="K23:K27"/>
    <mergeCell ref="L23:P23"/>
    <mergeCell ref="R23:T25"/>
    <mergeCell ref="G25:G26"/>
    <mergeCell ref="L25:L27"/>
    <mergeCell ref="M25:M27"/>
    <mergeCell ref="N25:P25"/>
    <mergeCell ref="AB23:AD25"/>
    <mergeCell ref="AE23:AE27"/>
    <mergeCell ref="B24:F24"/>
    <mergeCell ref="L24:P24"/>
    <mergeCell ref="V24:Z24"/>
    <mergeCell ref="B25:B27"/>
    <mergeCell ref="C25:C27"/>
    <mergeCell ref="D25:F25"/>
    <mergeCell ref="V25:V27"/>
    <mergeCell ref="W25:W27"/>
    <mergeCell ref="X25:Z25"/>
    <mergeCell ref="AA25:AA26"/>
    <mergeCell ref="R26:S26"/>
    <mergeCell ref="T26:T27"/>
    <mergeCell ref="X26:Y26"/>
    <mergeCell ref="Z26:Z27"/>
    <mergeCell ref="U23:U27"/>
    <mergeCell ref="V23:Z23"/>
    <mergeCell ref="AB26:AC26"/>
    <mergeCell ref="AD26:AD27"/>
    <mergeCell ref="O37:U37"/>
    <mergeCell ref="D26:E26"/>
    <mergeCell ref="F26:F27"/>
    <mergeCell ref="H26:I26"/>
    <mergeCell ref="J26:J27"/>
    <mergeCell ref="N26:O26"/>
    <mergeCell ref="P26:P27"/>
    <mergeCell ref="Q25:Q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Q54"/>
  <sheetViews>
    <sheetView tabSelected="1" zoomScale="80" zoomScaleNormal="80" zoomScalePageLayoutView="0" workbookViewId="0" topLeftCell="A14">
      <selection activeCell="O40" sqref="O40"/>
    </sheetView>
  </sheetViews>
  <sheetFormatPr defaultColWidth="9.00390625" defaultRowHeight="12.75"/>
  <cols>
    <col min="1" max="1" width="15.00390625" style="35" customWidth="1"/>
    <col min="2" max="2" width="9.75390625" style="35" hidden="1" customWidth="1"/>
    <col min="3" max="3" width="18.375" style="35" customWidth="1"/>
    <col min="4" max="4" width="10.375" style="35" hidden="1" customWidth="1"/>
    <col min="5" max="5" width="10.75390625" style="35" hidden="1" customWidth="1"/>
    <col min="6" max="6" width="20.25390625" style="35" customWidth="1"/>
    <col min="7" max="7" width="20.625" style="35" customWidth="1"/>
    <col min="8" max="8" width="18.00390625" style="35" customWidth="1"/>
    <col min="9" max="9" width="19.25390625" style="35" customWidth="1"/>
    <col min="10" max="10" width="0.12890625" style="35" customWidth="1"/>
    <col min="11" max="11" width="19.625" style="35" customWidth="1"/>
    <col min="12" max="12" width="21.125" style="35" customWidth="1"/>
    <col min="13" max="13" width="19.125" style="35" customWidth="1"/>
    <col min="14" max="14" width="19.25390625" style="35" customWidth="1"/>
    <col min="15" max="15" width="20.75390625" style="35" customWidth="1"/>
    <col min="16" max="16" width="20.25390625" style="35" customWidth="1"/>
    <col min="17" max="17" width="21.875" style="35" customWidth="1"/>
    <col min="18" max="16384" width="9.125" style="35" customWidth="1"/>
  </cols>
  <sheetData>
    <row r="5" spans="1:17" ht="45.75" customHeight="1">
      <c r="A5" s="102" t="s">
        <v>46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45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1" t="s">
        <v>47</v>
      </c>
      <c r="O6" s="92"/>
      <c r="P6" s="92"/>
      <c r="Q6" s="92"/>
    </row>
    <row r="7" spans="1:17" ht="24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6" t="s">
        <v>36</v>
      </c>
      <c r="Q7" s="37">
        <v>0.154599</v>
      </c>
    </row>
    <row r="8" spans="1:17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8" t="s">
        <v>15</v>
      </c>
      <c r="Q8" s="39">
        <v>17.1427</v>
      </c>
    </row>
    <row r="9" spans="1:17" ht="21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66"/>
      <c r="M9" s="34"/>
      <c r="N9" s="34"/>
      <c r="O9" s="34"/>
      <c r="P9" s="38" t="s">
        <v>44</v>
      </c>
      <c r="Q9" s="39">
        <v>19.5212</v>
      </c>
    </row>
    <row r="10" spans="10:17" ht="12.75">
      <c r="J10" s="93"/>
      <c r="K10" s="93"/>
      <c r="L10" s="93"/>
      <c r="M10" s="93"/>
      <c r="N10" s="93"/>
      <c r="O10" s="93"/>
      <c r="P10" s="93"/>
      <c r="Q10" s="93"/>
    </row>
    <row r="11" ht="13.5" thickBot="1"/>
    <row r="12" spans="1:17" ht="39" customHeight="1" thickTop="1">
      <c r="A12" s="85" t="s">
        <v>0</v>
      </c>
      <c r="B12" s="94" t="s">
        <v>48</v>
      </c>
      <c r="C12" s="94"/>
      <c r="D12" s="94"/>
      <c r="E12" s="94"/>
      <c r="F12" s="94"/>
      <c r="G12" s="94"/>
      <c r="H12" s="99" t="s">
        <v>39</v>
      </c>
      <c r="I12" s="94" t="s">
        <v>49</v>
      </c>
      <c r="J12" s="94"/>
      <c r="K12" s="94"/>
      <c r="L12" s="94"/>
      <c r="M12" s="99" t="s">
        <v>39</v>
      </c>
      <c r="N12" s="94" t="s">
        <v>50</v>
      </c>
      <c r="O12" s="94"/>
      <c r="P12" s="94"/>
      <c r="Q12" s="95" t="s">
        <v>39</v>
      </c>
    </row>
    <row r="13" spans="1:17" ht="12.75" customHeight="1">
      <c r="A13" s="86"/>
      <c r="B13" s="87" t="s">
        <v>38</v>
      </c>
      <c r="C13" s="87"/>
      <c r="D13" s="87"/>
      <c r="E13" s="87"/>
      <c r="F13" s="87"/>
      <c r="G13" s="87"/>
      <c r="H13" s="100"/>
      <c r="I13" s="87" t="s">
        <v>38</v>
      </c>
      <c r="J13" s="87"/>
      <c r="K13" s="87"/>
      <c r="L13" s="87"/>
      <c r="M13" s="100"/>
      <c r="N13" s="87" t="s">
        <v>38</v>
      </c>
      <c r="O13" s="87"/>
      <c r="P13" s="87"/>
      <c r="Q13" s="96"/>
    </row>
    <row r="14" spans="1:17" ht="12.75" customHeight="1">
      <c r="A14" s="86"/>
      <c r="B14" s="87" t="s">
        <v>4</v>
      </c>
      <c r="C14" s="90" t="s">
        <v>40</v>
      </c>
      <c r="D14" s="90" t="s">
        <v>41</v>
      </c>
      <c r="E14" s="90" t="s">
        <v>41</v>
      </c>
      <c r="F14" s="90" t="s">
        <v>41</v>
      </c>
      <c r="G14" s="90" t="s">
        <v>42</v>
      </c>
      <c r="H14" s="100"/>
      <c r="I14" s="90" t="s">
        <v>40</v>
      </c>
      <c r="J14" s="90" t="s">
        <v>41</v>
      </c>
      <c r="K14" s="90" t="s">
        <v>41</v>
      </c>
      <c r="L14" s="90" t="s">
        <v>42</v>
      </c>
      <c r="M14" s="100"/>
      <c r="N14" s="90" t="s">
        <v>40</v>
      </c>
      <c r="O14" s="90" t="s">
        <v>41</v>
      </c>
      <c r="P14" s="90" t="s">
        <v>42</v>
      </c>
      <c r="Q14" s="96"/>
    </row>
    <row r="15" spans="1:17" ht="12.75" customHeight="1">
      <c r="A15" s="86"/>
      <c r="B15" s="87"/>
      <c r="C15" s="90"/>
      <c r="D15" s="90"/>
      <c r="E15" s="90"/>
      <c r="F15" s="90"/>
      <c r="G15" s="90"/>
      <c r="H15" s="100"/>
      <c r="I15" s="90"/>
      <c r="J15" s="90"/>
      <c r="K15" s="90"/>
      <c r="L15" s="90"/>
      <c r="M15" s="100"/>
      <c r="N15" s="90"/>
      <c r="O15" s="90"/>
      <c r="P15" s="90"/>
      <c r="Q15" s="96"/>
    </row>
    <row r="16" spans="1:17" ht="79.5" customHeight="1">
      <c r="A16" s="86"/>
      <c r="B16" s="87"/>
      <c r="C16" s="90"/>
      <c r="D16" s="90"/>
      <c r="E16" s="90"/>
      <c r="F16" s="90"/>
      <c r="G16" s="90"/>
      <c r="H16" s="100"/>
      <c r="I16" s="90"/>
      <c r="J16" s="90"/>
      <c r="K16" s="90"/>
      <c r="L16" s="90"/>
      <c r="M16" s="100"/>
      <c r="N16" s="90"/>
      <c r="O16" s="90"/>
      <c r="P16" s="90"/>
      <c r="Q16" s="96"/>
    </row>
    <row r="17" spans="1:17" ht="12.75">
      <c r="A17" s="40"/>
      <c r="B17" s="12"/>
      <c r="C17" s="12"/>
      <c r="D17" s="12"/>
      <c r="E17" s="12"/>
      <c r="F17" s="12"/>
      <c r="G17" s="12"/>
      <c r="H17" s="41"/>
      <c r="I17" s="12"/>
      <c r="J17" s="12"/>
      <c r="K17" s="12"/>
      <c r="L17" s="12"/>
      <c r="M17" s="12"/>
      <c r="N17" s="12"/>
      <c r="O17" s="12"/>
      <c r="P17" s="12"/>
      <c r="Q17" s="42"/>
    </row>
    <row r="18" spans="1:17" ht="15.75">
      <c r="A18" s="43" t="s">
        <v>11</v>
      </c>
      <c r="B18" s="30">
        <v>1004789.49</v>
      </c>
      <c r="C18" s="31">
        <v>1004789.49</v>
      </c>
      <c r="D18" s="31" t="e">
        <f>#REF!-G18</f>
        <v>#REF!</v>
      </c>
      <c r="E18" s="31" t="e">
        <f>#REF!</f>
        <v>#REF!</v>
      </c>
      <c r="F18" s="31">
        <f>5143002.705-G18</f>
        <v>4422587.661</v>
      </c>
      <c r="G18" s="31">
        <v>720415.044</v>
      </c>
      <c r="H18" s="44">
        <f>C18+F18+G18</f>
        <v>6147792.195</v>
      </c>
      <c r="I18" s="31">
        <v>0</v>
      </c>
      <c r="J18" s="31" t="e">
        <f>E18-3048323.67</f>
        <v>#REF!</v>
      </c>
      <c r="K18" s="31">
        <f>217671.2-L18</f>
        <v>181924.6</v>
      </c>
      <c r="L18" s="31">
        <v>35746.6</v>
      </c>
      <c r="M18" s="45">
        <f>I18+K18+L18</f>
        <v>217671.2</v>
      </c>
      <c r="N18" s="31">
        <v>1614102.769</v>
      </c>
      <c r="O18" s="31">
        <f>5115981.104-P18</f>
        <v>4422850.509000001</v>
      </c>
      <c r="P18" s="31">
        <v>693130.595</v>
      </c>
      <c r="Q18" s="46">
        <f>N18+O18+P18</f>
        <v>6730083.873000001</v>
      </c>
    </row>
    <row r="19" spans="1:17" ht="15.75">
      <c r="A19" s="43"/>
      <c r="B19" s="30"/>
      <c r="C19" s="31"/>
      <c r="D19" s="31"/>
      <c r="E19" s="31"/>
      <c r="F19" s="31"/>
      <c r="G19" s="31"/>
      <c r="H19" s="44"/>
      <c r="I19" s="31"/>
      <c r="J19" s="31"/>
      <c r="K19" s="31"/>
      <c r="L19" s="31"/>
      <c r="M19" s="45"/>
      <c r="N19" s="31"/>
      <c r="O19" s="31"/>
      <c r="P19" s="31"/>
      <c r="Q19" s="46"/>
    </row>
    <row r="20" spans="1:17" ht="15.75">
      <c r="A20" s="43" t="s">
        <v>12</v>
      </c>
      <c r="B20" s="30">
        <v>280664.21</v>
      </c>
      <c r="C20" s="31">
        <v>335907.188</v>
      </c>
      <c r="D20" s="31" t="e">
        <f>#REF!-G20</f>
        <v>#REF!</v>
      </c>
      <c r="E20" s="31" t="e">
        <f>#REF!</f>
        <v>#REF!</v>
      </c>
      <c r="F20" s="31">
        <f>106276.228-G20</f>
        <v>93689.85800000001</v>
      </c>
      <c r="G20" s="31">
        <v>12586.37</v>
      </c>
      <c r="H20" s="44">
        <f>C20+F20+G20</f>
        <v>442183.416</v>
      </c>
      <c r="I20" s="31">
        <v>6654.393</v>
      </c>
      <c r="J20" s="31" t="e">
        <f>E20-61542.48</f>
        <v>#REF!</v>
      </c>
      <c r="K20" s="31">
        <f>90</f>
        <v>90</v>
      </c>
      <c r="L20" s="31">
        <v>0</v>
      </c>
      <c r="M20" s="45">
        <f>I20+K20+L20</f>
        <v>6744.393</v>
      </c>
      <c r="N20" s="31">
        <v>378846.147</v>
      </c>
      <c r="O20" s="31">
        <f>109263.791-P20</f>
        <v>96989.731</v>
      </c>
      <c r="P20" s="31">
        <v>12274.06</v>
      </c>
      <c r="Q20" s="46">
        <f>N20+O20+P20</f>
        <v>488109.938</v>
      </c>
    </row>
    <row r="21" spans="1:17" ht="15.75">
      <c r="A21" s="43"/>
      <c r="B21" s="30"/>
      <c r="C21" s="31"/>
      <c r="D21" s="31"/>
      <c r="E21" s="31"/>
      <c r="F21" s="31"/>
      <c r="G21" s="31"/>
      <c r="H21" s="44"/>
      <c r="I21" s="31"/>
      <c r="J21" s="31"/>
      <c r="K21" s="31"/>
      <c r="L21" s="31"/>
      <c r="M21" s="45"/>
      <c r="N21" s="31"/>
      <c r="O21" s="31"/>
      <c r="P21" s="31"/>
      <c r="Q21" s="46"/>
    </row>
    <row r="22" spans="1:17" ht="15.75">
      <c r="A22" s="43" t="s">
        <v>13</v>
      </c>
      <c r="B22" s="32">
        <v>9284.75</v>
      </c>
      <c r="C22" s="31">
        <v>49007.023</v>
      </c>
      <c r="D22" s="31" t="e">
        <f>#REF!-G22</f>
        <v>#REF!</v>
      </c>
      <c r="E22" s="31" t="e">
        <f>#REF!</f>
        <v>#REF!</v>
      </c>
      <c r="F22" s="31">
        <f>125540.139-G22</f>
        <v>123731.325</v>
      </c>
      <c r="G22" s="31">
        <v>1808.814</v>
      </c>
      <c r="H22" s="44">
        <f>C22+F22+G22</f>
        <v>174547.162</v>
      </c>
      <c r="I22" s="31">
        <v>14800.006</v>
      </c>
      <c r="J22" s="31" t="e">
        <f>E22-38454.13</f>
        <v>#REF!</v>
      </c>
      <c r="K22" s="31">
        <v>12412.5</v>
      </c>
      <c r="L22" s="31">
        <v>80</v>
      </c>
      <c r="M22" s="45">
        <f>I22+K22+L22</f>
        <v>27292.506</v>
      </c>
      <c r="N22" s="31">
        <v>13573.724</v>
      </c>
      <c r="O22" s="31">
        <f>83135.263-P22</f>
        <v>81792.604</v>
      </c>
      <c r="P22" s="31">
        <v>1342.659</v>
      </c>
      <c r="Q22" s="46">
        <f>N22+O22+P22</f>
        <v>96708.98700000001</v>
      </c>
    </row>
    <row r="23" spans="1:17" ht="15.75">
      <c r="A23" s="43"/>
      <c r="B23" s="30"/>
      <c r="C23" s="31"/>
      <c r="D23" s="31"/>
      <c r="E23" s="31"/>
      <c r="F23" s="31"/>
      <c r="G23" s="31"/>
      <c r="H23" s="44"/>
      <c r="I23" s="31"/>
      <c r="J23" s="31"/>
      <c r="K23" s="31"/>
      <c r="L23" s="31"/>
      <c r="M23" s="45"/>
      <c r="N23" s="31"/>
      <c r="O23" s="31"/>
      <c r="P23" s="31"/>
      <c r="Q23" s="46"/>
    </row>
    <row r="24" spans="1:17" ht="15.75">
      <c r="A24" s="43" t="s">
        <v>14</v>
      </c>
      <c r="B24" s="32">
        <v>4500</v>
      </c>
      <c r="C24" s="31">
        <v>4500</v>
      </c>
      <c r="D24" s="31"/>
      <c r="E24" s="31"/>
      <c r="F24" s="31">
        <v>0</v>
      </c>
      <c r="G24" s="31">
        <v>0</v>
      </c>
      <c r="H24" s="44">
        <f>C24+F24+G24</f>
        <v>4500</v>
      </c>
      <c r="I24" s="31">
        <v>0</v>
      </c>
      <c r="J24" s="31"/>
      <c r="K24" s="31">
        <v>0</v>
      </c>
      <c r="L24" s="31">
        <v>0</v>
      </c>
      <c r="M24" s="45">
        <f>I24+K24+L24</f>
        <v>0</v>
      </c>
      <c r="N24" s="31">
        <v>4500</v>
      </c>
      <c r="O24" s="31">
        <v>0</v>
      </c>
      <c r="P24" s="31">
        <v>0</v>
      </c>
      <c r="Q24" s="46">
        <f>N24+O24+P24</f>
        <v>4500</v>
      </c>
    </row>
    <row r="25" spans="1:17" ht="15.75">
      <c r="A25" s="43"/>
      <c r="B25" s="32"/>
      <c r="C25" s="31"/>
      <c r="D25" s="31"/>
      <c r="E25" s="31"/>
      <c r="F25" s="31"/>
      <c r="G25" s="31"/>
      <c r="H25" s="44"/>
      <c r="I25" s="31"/>
      <c r="J25" s="31"/>
      <c r="K25" s="31"/>
      <c r="L25" s="31"/>
      <c r="M25" s="45"/>
      <c r="N25" s="31"/>
      <c r="O25" s="31"/>
      <c r="P25" s="31"/>
      <c r="Q25" s="46"/>
    </row>
    <row r="26" spans="1:17" ht="16.5" thickBot="1">
      <c r="A26" s="47" t="s">
        <v>35</v>
      </c>
      <c r="B26" s="48"/>
      <c r="C26" s="49">
        <v>896943</v>
      </c>
      <c r="D26" s="48"/>
      <c r="E26" s="48"/>
      <c r="F26" s="50">
        <v>0</v>
      </c>
      <c r="G26" s="50">
        <v>0</v>
      </c>
      <c r="H26" s="51">
        <f>C26+F26+G26</f>
        <v>896943</v>
      </c>
      <c r="I26" s="49">
        <v>0</v>
      </c>
      <c r="J26" s="48"/>
      <c r="K26" s="50">
        <v>0</v>
      </c>
      <c r="L26" s="50">
        <v>0</v>
      </c>
      <c r="M26" s="52">
        <f>I26+K26+L26</f>
        <v>0</v>
      </c>
      <c r="N26" s="50">
        <v>3485.631</v>
      </c>
      <c r="O26" s="50">
        <v>0</v>
      </c>
      <c r="P26" s="50">
        <v>0</v>
      </c>
      <c r="Q26" s="53">
        <f>N26+O26+P26</f>
        <v>3485.631</v>
      </c>
    </row>
    <row r="27" spans="1:17" ht="13.5" hidden="1" thickTop="1">
      <c r="A27" s="88" t="s">
        <v>37</v>
      </c>
      <c r="B27" s="89"/>
      <c r="C27" s="89"/>
      <c r="D27" s="54"/>
      <c r="E27" s="54"/>
      <c r="F27" s="54"/>
      <c r="G27" s="54"/>
      <c r="H27" s="55"/>
      <c r="I27" s="54" t="e">
        <f>I20*#REF!+I22*O28</f>
        <v>#REF!</v>
      </c>
      <c r="J27" s="54"/>
      <c r="K27" s="56" t="e">
        <f>K18+K20*#REF!+K22*O28</f>
        <v>#REF!</v>
      </c>
      <c r="L27" s="57">
        <f>L18</f>
        <v>35746.6</v>
      </c>
      <c r="M27" s="57" t="e">
        <f>M18+M20*#REF!+M22*O28</f>
        <v>#REF!</v>
      </c>
      <c r="N27" s="54"/>
      <c r="O27" s="54"/>
      <c r="P27" s="54"/>
      <c r="Q27" s="58"/>
    </row>
    <row r="28" spans="1:17" ht="13.5" hidden="1" thickTop="1">
      <c r="A28" s="40"/>
      <c r="B28" s="12"/>
      <c r="C28" s="12"/>
      <c r="D28" s="12"/>
      <c r="E28" s="12"/>
      <c r="F28" s="12"/>
      <c r="G28" s="12"/>
      <c r="H28" s="12"/>
      <c r="I28" s="12"/>
      <c r="J28" s="12"/>
      <c r="K28" s="12" t="s">
        <v>43</v>
      </c>
      <c r="L28" s="12">
        <v>19.8698</v>
      </c>
      <c r="M28" s="12">
        <v>0.193455</v>
      </c>
      <c r="N28" s="59" t="s">
        <v>36</v>
      </c>
      <c r="O28" s="12">
        <v>22.0325</v>
      </c>
      <c r="P28" s="12" t="s">
        <v>16</v>
      </c>
      <c r="Q28" s="42"/>
    </row>
    <row r="29" spans="1:17" ht="39.75" customHeight="1" thickTop="1">
      <c r="A29" s="97" t="s">
        <v>0</v>
      </c>
      <c r="B29" s="98" t="s">
        <v>51</v>
      </c>
      <c r="C29" s="98"/>
      <c r="D29" s="98"/>
      <c r="E29" s="98"/>
      <c r="F29" s="98"/>
      <c r="G29" s="98"/>
      <c r="H29" s="100" t="s">
        <v>39</v>
      </c>
      <c r="I29" s="98" t="s">
        <v>52</v>
      </c>
      <c r="J29" s="98"/>
      <c r="K29" s="98"/>
      <c r="L29" s="98"/>
      <c r="M29" s="100" t="s">
        <v>39</v>
      </c>
      <c r="N29" s="98" t="s">
        <v>53</v>
      </c>
      <c r="O29" s="98"/>
      <c r="P29" s="98"/>
      <c r="Q29" s="96" t="s">
        <v>39</v>
      </c>
    </row>
    <row r="30" spans="1:17" ht="12.75" customHeight="1">
      <c r="A30" s="97"/>
      <c r="B30" s="87" t="s">
        <v>3</v>
      </c>
      <c r="C30" s="87"/>
      <c r="D30" s="87"/>
      <c r="E30" s="87"/>
      <c r="F30" s="87"/>
      <c r="G30" s="87"/>
      <c r="H30" s="100"/>
      <c r="I30" s="87" t="s">
        <v>3</v>
      </c>
      <c r="J30" s="87"/>
      <c r="K30" s="87"/>
      <c r="L30" s="87"/>
      <c r="M30" s="100"/>
      <c r="N30" s="87" t="s">
        <v>3</v>
      </c>
      <c r="O30" s="87"/>
      <c r="P30" s="87"/>
      <c r="Q30" s="96"/>
    </row>
    <row r="31" spans="1:17" ht="12.75" customHeight="1">
      <c r="A31" s="97"/>
      <c r="B31" s="87" t="s">
        <v>6</v>
      </c>
      <c r="C31" s="90" t="s">
        <v>40</v>
      </c>
      <c r="D31" s="90" t="s">
        <v>41</v>
      </c>
      <c r="E31" s="90" t="s">
        <v>41</v>
      </c>
      <c r="F31" s="90" t="s">
        <v>41</v>
      </c>
      <c r="G31" s="90" t="s">
        <v>42</v>
      </c>
      <c r="H31" s="100"/>
      <c r="I31" s="90" t="s">
        <v>40</v>
      </c>
      <c r="J31" s="90" t="s">
        <v>41</v>
      </c>
      <c r="K31" s="90" t="s">
        <v>41</v>
      </c>
      <c r="L31" s="90" t="s">
        <v>42</v>
      </c>
      <c r="M31" s="100"/>
      <c r="N31" s="90" t="s">
        <v>40</v>
      </c>
      <c r="O31" s="90" t="s">
        <v>41</v>
      </c>
      <c r="P31" s="90" t="s">
        <v>42</v>
      </c>
      <c r="Q31" s="96"/>
    </row>
    <row r="32" spans="1:17" ht="12.75" customHeight="1">
      <c r="A32" s="97"/>
      <c r="B32" s="87"/>
      <c r="C32" s="90"/>
      <c r="D32" s="90"/>
      <c r="E32" s="90"/>
      <c r="F32" s="90"/>
      <c r="G32" s="90"/>
      <c r="H32" s="100"/>
      <c r="I32" s="90"/>
      <c r="J32" s="90"/>
      <c r="K32" s="90"/>
      <c r="L32" s="90"/>
      <c r="M32" s="100"/>
      <c r="N32" s="90"/>
      <c r="O32" s="90"/>
      <c r="P32" s="90"/>
      <c r="Q32" s="96"/>
    </row>
    <row r="33" spans="1:17" ht="78" customHeight="1">
      <c r="A33" s="97"/>
      <c r="B33" s="87"/>
      <c r="C33" s="90"/>
      <c r="D33" s="90"/>
      <c r="E33" s="90"/>
      <c r="F33" s="90"/>
      <c r="G33" s="90"/>
      <c r="H33" s="100"/>
      <c r="I33" s="90"/>
      <c r="J33" s="90"/>
      <c r="K33" s="90"/>
      <c r="L33" s="90"/>
      <c r="M33" s="100"/>
      <c r="N33" s="90"/>
      <c r="O33" s="90"/>
      <c r="P33" s="90"/>
      <c r="Q33" s="96"/>
    </row>
    <row r="34" spans="1:17" ht="12.75">
      <c r="A34" s="4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</row>
    <row r="35" spans="1:17" ht="15.75">
      <c r="A35" s="43" t="s">
        <v>11</v>
      </c>
      <c r="B35" s="30">
        <f>N18-1248437.65</f>
        <v>365665.1190000002</v>
      </c>
      <c r="C35" s="31">
        <v>22846.291</v>
      </c>
      <c r="D35" s="31" t="e">
        <f>#REF!-G35</f>
        <v>#REF!</v>
      </c>
      <c r="E35" s="31" t="e">
        <f>#REF!-1838503.79</f>
        <v>#REF!</v>
      </c>
      <c r="F35" s="31">
        <f>629415-G35</f>
        <v>585121.8</v>
      </c>
      <c r="G35" s="31">
        <v>44293.2</v>
      </c>
      <c r="H35" s="45">
        <f>C35+F35+G35</f>
        <v>652261.291</v>
      </c>
      <c r="I35" s="31">
        <v>71302.799</v>
      </c>
      <c r="J35" s="31">
        <v>1631546.21</v>
      </c>
      <c r="K35" s="31">
        <f>1041633.634-L35</f>
        <v>897662.4839999999</v>
      </c>
      <c r="L35" s="31">
        <v>143971.15</v>
      </c>
      <c r="M35" s="45">
        <f>I35+K35+L35</f>
        <v>1112936.433</v>
      </c>
      <c r="N35" s="31">
        <f>I35</f>
        <v>71302.799</v>
      </c>
      <c r="O35" s="31">
        <f>K35</f>
        <v>897662.4839999999</v>
      </c>
      <c r="P35" s="31">
        <f>L35</f>
        <v>143971.15</v>
      </c>
      <c r="Q35" s="46">
        <f>N35+O35+P35</f>
        <v>1112936.433</v>
      </c>
    </row>
    <row r="36" spans="1:17" ht="15.75">
      <c r="A36" s="43"/>
      <c r="B36" s="30"/>
      <c r="C36" s="31"/>
      <c r="D36" s="31"/>
      <c r="E36" s="31"/>
      <c r="F36" s="31"/>
      <c r="G36" s="31"/>
      <c r="H36" s="45"/>
      <c r="I36" s="31"/>
      <c r="J36" s="31"/>
      <c r="K36" s="31"/>
      <c r="L36" s="31"/>
      <c r="M36" s="45"/>
      <c r="N36" s="31"/>
      <c r="O36" s="31"/>
      <c r="P36" s="31"/>
      <c r="Q36" s="46"/>
    </row>
    <row r="37" spans="1:17" ht="15.75">
      <c r="A37" s="43" t="s">
        <v>12</v>
      </c>
      <c r="B37" s="32">
        <f>N20-316428.29</f>
        <v>62417.85700000002</v>
      </c>
      <c r="C37" s="31">
        <v>6275.593</v>
      </c>
      <c r="D37" s="31" t="e">
        <f>#REF!-G37</f>
        <v>#REF!</v>
      </c>
      <c r="E37" s="31" t="e">
        <f>#REF!-51932.38</f>
        <v>#REF!</v>
      </c>
      <c r="F37" s="31">
        <f>5816.6-G37</f>
        <v>5417</v>
      </c>
      <c r="G37" s="31">
        <v>399.6</v>
      </c>
      <c r="H37" s="45">
        <f>C37+F37+G37</f>
        <v>12092.193000000001</v>
      </c>
      <c r="I37" s="31">
        <v>79782.287</v>
      </c>
      <c r="J37" s="31">
        <v>11614.33</v>
      </c>
      <c r="K37" s="31">
        <f>5368.783-L37</f>
        <v>4382.999000000001</v>
      </c>
      <c r="L37" s="31">
        <v>985.784</v>
      </c>
      <c r="M37" s="45">
        <f>I37+K37+L37</f>
        <v>85151.06999999999</v>
      </c>
      <c r="N37" s="31">
        <f>1367683.82</f>
        <v>1367683.82</v>
      </c>
      <c r="O37" s="31">
        <f>K37*Q8</f>
        <v>75136.43695730001</v>
      </c>
      <c r="P37" s="31">
        <f>L37*Q8</f>
        <v>16898.999376800002</v>
      </c>
      <c r="Q37" s="46">
        <f>N37+O37+P37</f>
        <v>1459719.2563341</v>
      </c>
    </row>
    <row r="38" spans="1:17" ht="15.75">
      <c r="A38" s="43"/>
      <c r="B38" s="30"/>
      <c r="C38" s="31"/>
      <c r="D38" s="31"/>
      <c r="E38" s="31"/>
      <c r="F38" s="31"/>
      <c r="G38" s="31"/>
      <c r="H38" s="45"/>
      <c r="I38" s="31"/>
      <c r="J38" s="31"/>
      <c r="K38" s="31"/>
      <c r="L38" s="31"/>
      <c r="M38" s="45"/>
      <c r="N38" s="31"/>
      <c r="O38" s="31"/>
      <c r="P38" s="31"/>
      <c r="Q38" s="46"/>
    </row>
    <row r="39" spans="1:17" ht="15.75">
      <c r="A39" s="43" t="s">
        <v>13</v>
      </c>
      <c r="B39" s="30">
        <f>N22-1153.8</f>
        <v>12419.924</v>
      </c>
      <c r="C39" s="31">
        <v>1905.483</v>
      </c>
      <c r="D39" s="33" t="e">
        <f>#REF!-G39</f>
        <v>#REF!</v>
      </c>
      <c r="E39" s="31" t="e">
        <f>#REF!-23594.33</f>
        <v>#REF!</v>
      </c>
      <c r="F39" s="31">
        <f>17479.5-G39</f>
        <v>17325.5</v>
      </c>
      <c r="G39" s="31">
        <v>154</v>
      </c>
      <c r="H39" s="45">
        <f>C39+F39+G39</f>
        <v>19384.983</v>
      </c>
      <c r="I39" s="31">
        <v>39064.403</v>
      </c>
      <c r="J39" s="31">
        <v>14869.08</v>
      </c>
      <c r="K39" s="31">
        <f>48489.199-L39</f>
        <v>47977.992</v>
      </c>
      <c r="L39" s="31">
        <v>511.207</v>
      </c>
      <c r="M39" s="45">
        <f>I39+K39+L39</f>
        <v>87553.60199999998</v>
      </c>
      <c r="N39" s="31">
        <v>762584.03</v>
      </c>
      <c r="O39" s="31">
        <f>946567.371-P39</f>
        <v>936587.9969116</v>
      </c>
      <c r="P39" s="31">
        <f>L39*Q9</f>
        <v>9979.3740884</v>
      </c>
      <c r="Q39" s="46">
        <f>N39+O39+P39</f>
        <v>1709151.401</v>
      </c>
    </row>
    <row r="40" spans="1:17" ht="15.75">
      <c r="A40" s="43"/>
      <c r="B40" s="30"/>
      <c r="C40" s="31"/>
      <c r="D40" s="31"/>
      <c r="E40" s="31"/>
      <c r="F40" s="31"/>
      <c r="G40" s="31"/>
      <c r="H40" s="45"/>
      <c r="I40" s="31"/>
      <c r="J40" s="31"/>
      <c r="K40" s="31"/>
      <c r="L40" s="31"/>
      <c r="M40" s="45"/>
      <c r="N40" s="31"/>
      <c r="O40" s="31"/>
      <c r="P40" s="31"/>
      <c r="Q40" s="46"/>
    </row>
    <row r="41" spans="1:17" ht="15.75">
      <c r="A41" s="43" t="s">
        <v>14</v>
      </c>
      <c r="B41" s="30"/>
      <c r="C41" s="31">
        <v>0</v>
      </c>
      <c r="D41" s="31"/>
      <c r="E41" s="31"/>
      <c r="F41" s="31">
        <v>0</v>
      </c>
      <c r="G41" s="31">
        <v>0</v>
      </c>
      <c r="H41" s="45">
        <f>C41+F41+G41</f>
        <v>0</v>
      </c>
      <c r="I41" s="31">
        <v>0</v>
      </c>
      <c r="J41" s="31"/>
      <c r="K41" s="31">
        <v>0</v>
      </c>
      <c r="L41" s="31">
        <v>0</v>
      </c>
      <c r="M41" s="45">
        <f>I41+K41+L41</f>
        <v>0</v>
      </c>
      <c r="N41" s="31">
        <v>0</v>
      </c>
      <c r="O41" s="31">
        <v>0</v>
      </c>
      <c r="P41" s="31">
        <v>0</v>
      </c>
      <c r="Q41" s="46">
        <f>N41+O41+P41</f>
        <v>0</v>
      </c>
    </row>
    <row r="42" spans="1:17" ht="15.75">
      <c r="A42" s="43"/>
      <c r="B42" s="30"/>
      <c r="C42" s="31"/>
      <c r="D42" s="31"/>
      <c r="E42" s="31"/>
      <c r="F42" s="31"/>
      <c r="G42" s="31"/>
      <c r="H42" s="45"/>
      <c r="I42" s="31"/>
      <c r="J42" s="31"/>
      <c r="K42" s="31"/>
      <c r="L42" s="31"/>
      <c r="M42" s="45"/>
      <c r="N42" s="31"/>
      <c r="O42" s="31"/>
      <c r="P42" s="31"/>
      <c r="Q42" s="46"/>
    </row>
    <row r="43" spans="1:17" ht="15.75">
      <c r="A43" s="43" t="s">
        <v>35</v>
      </c>
      <c r="B43" s="30"/>
      <c r="C43" s="31">
        <v>896.943</v>
      </c>
      <c r="D43" s="31"/>
      <c r="E43" s="31"/>
      <c r="F43" s="31">
        <v>0</v>
      </c>
      <c r="G43" s="31">
        <v>0</v>
      </c>
      <c r="H43" s="45">
        <f>C43+F43+G43</f>
        <v>896.943</v>
      </c>
      <c r="I43" s="31">
        <v>896943</v>
      </c>
      <c r="J43" s="31"/>
      <c r="K43" s="31">
        <v>0</v>
      </c>
      <c r="L43" s="31">
        <v>0</v>
      </c>
      <c r="M43" s="45">
        <f>I43+K43+L43</f>
        <v>896943</v>
      </c>
      <c r="N43" s="31">
        <f>I43*Q7</f>
        <v>138666.490857</v>
      </c>
      <c r="O43" s="31">
        <v>0</v>
      </c>
      <c r="P43" s="31">
        <v>0</v>
      </c>
      <c r="Q43" s="46">
        <f>N43+O43+P43</f>
        <v>138666.490857</v>
      </c>
    </row>
    <row r="44" spans="1:17" ht="15.75">
      <c r="A44" s="43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60"/>
    </row>
    <row r="45" spans="1:17" ht="17.25" customHeight="1" thickBot="1">
      <c r="A45" s="47"/>
      <c r="B45" s="48"/>
      <c r="C45" s="48"/>
      <c r="D45" s="48"/>
      <c r="E45" s="48"/>
      <c r="F45" s="48"/>
      <c r="G45" s="48"/>
      <c r="H45" s="48"/>
      <c r="I45" s="49"/>
      <c r="J45" s="101" t="s">
        <v>45</v>
      </c>
      <c r="K45" s="101"/>
      <c r="L45" s="101"/>
      <c r="M45" s="101"/>
      <c r="N45" s="52">
        <f>SUM(N35:N43)</f>
        <v>2340237.139857</v>
      </c>
      <c r="O45" s="52">
        <f>SUM(O35:O43)</f>
        <v>1909386.9178689</v>
      </c>
      <c r="P45" s="63">
        <f>SUM(P35:P43)</f>
        <v>170849.52346519998</v>
      </c>
      <c r="Q45" s="53">
        <f>SUM(Q35:Q43)</f>
        <v>4420473.5811911</v>
      </c>
    </row>
    <row r="46" spans="8:9" ht="12.75" hidden="1">
      <c r="H46" s="35">
        <v>61754095.6</v>
      </c>
      <c r="I46" s="35">
        <v>26619481.37</v>
      </c>
    </row>
    <row r="47" spans="8:9" ht="12.75" hidden="1">
      <c r="H47" s="35">
        <v>57853022.98</v>
      </c>
      <c r="I47" s="61">
        <v>25090879.15</v>
      </c>
    </row>
    <row r="48" spans="8:9" ht="12.75" hidden="1">
      <c r="H48" s="62">
        <f>H46-H47</f>
        <v>3901072.620000005</v>
      </c>
      <c r="I48" s="62">
        <f>I46-I47</f>
        <v>1528602.2200000025</v>
      </c>
    </row>
    <row r="49" ht="13.5" thickTop="1"/>
    <row r="51" ht="12.75">
      <c r="P51" s="64"/>
    </row>
    <row r="52" ht="12.75">
      <c r="L52" s="64"/>
    </row>
    <row r="53" ht="12.75">
      <c r="L53" s="65"/>
    </row>
    <row r="54" ht="12.75">
      <c r="L54" s="64"/>
    </row>
  </sheetData>
  <sheetProtection/>
  <mergeCells count="51">
    <mergeCell ref="A5:Q5"/>
    <mergeCell ref="G14:G16"/>
    <mergeCell ref="B12:G12"/>
    <mergeCell ref="D14:D16"/>
    <mergeCell ref="E14:E16"/>
    <mergeCell ref="I30:L30"/>
    <mergeCell ref="L14:L16"/>
    <mergeCell ref="C14:C16"/>
    <mergeCell ref="F14:F16"/>
    <mergeCell ref="Q29:Q33"/>
    <mergeCell ref="J45:M45"/>
    <mergeCell ref="L31:L33"/>
    <mergeCell ref="I31:I33"/>
    <mergeCell ref="H29:H33"/>
    <mergeCell ref="M29:M33"/>
    <mergeCell ref="P31:P33"/>
    <mergeCell ref="N13:P13"/>
    <mergeCell ref="N30:P30"/>
    <mergeCell ref="K31:K33"/>
    <mergeCell ref="O31:O33"/>
    <mergeCell ref="H12:H16"/>
    <mergeCell ref="I13:L13"/>
    <mergeCell ref="J31:J33"/>
    <mergeCell ref="M12:M16"/>
    <mergeCell ref="I29:L29"/>
    <mergeCell ref="C31:C33"/>
    <mergeCell ref="N31:N33"/>
    <mergeCell ref="E31:E33"/>
    <mergeCell ref="F31:F33"/>
    <mergeCell ref="K14:K16"/>
    <mergeCell ref="J14:J16"/>
    <mergeCell ref="A29:A33"/>
    <mergeCell ref="B30:G30"/>
    <mergeCell ref="B29:G29"/>
    <mergeCell ref="G31:G33"/>
    <mergeCell ref="D31:D33"/>
    <mergeCell ref="P14:P16"/>
    <mergeCell ref="I14:I16"/>
    <mergeCell ref="B31:B33"/>
    <mergeCell ref="N14:N16"/>
    <mergeCell ref="N29:P29"/>
    <mergeCell ref="A12:A16"/>
    <mergeCell ref="B14:B16"/>
    <mergeCell ref="A27:C27"/>
    <mergeCell ref="O14:O16"/>
    <mergeCell ref="B13:G13"/>
    <mergeCell ref="N6:Q6"/>
    <mergeCell ref="J10:Q10"/>
    <mergeCell ref="I12:L12"/>
    <mergeCell ref="Q12:Q16"/>
    <mergeCell ref="N12:P12"/>
  </mergeCells>
  <printOptions/>
  <pageMargins left="0.2362204724409449" right="0.15748031496062992" top="0.2755905511811024" bottom="0.3937007874015748" header="0.15748031496062992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SSTAVER</dc:creator>
  <cp:keywords/>
  <dc:description/>
  <cp:lastModifiedBy>lupanciuct</cp:lastModifiedBy>
  <cp:lastPrinted>2019-02-20T12:35:03Z</cp:lastPrinted>
  <dcterms:created xsi:type="dcterms:W3CDTF">2009-01-19T10:32:42Z</dcterms:created>
  <dcterms:modified xsi:type="dcterms:W3CDTF">2019-03-14T13:55:56Z</dcterms:modified>
  <cp:category/>
  <cp:version/>
  <cp:contentType/>
  <cp:contentStatus/>
</cp:coreProperties>
</file>